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Denne_projektmappe" defaultThemeVersion="124226"/>
  <mc:AlternateContent xmlns:mc="http://schemas.openxmlformats.org/markup-compatibility/2006">
    <mc:Choice Requires="x15">
      <x15ac:absPath xmlns:x15ac="http://schemas.microsoft.com/office/spreadsheetml/2010/11/ac" url="https://sk7800-my.sharepoint.com/personal/ravi_skivekommune_dk/Documents/Projekter - Energibyen/DK2020/Data/"/>
    </mc:Choice>
  </mc:AlternateContent>
  <xr:revisionPtr revIDLastSave="0" documentId="8_{00984C5A-13A4-4279-8CE1-7BA70368E89C}" xr6:coauthVersionLast="47" xr6:coauthVersionMax="47" xr10:uidLastSave="{00000000-0000-0000-0000-000000000000}"/>
  <bookViews>
    <workbookView xWindow="-120" yWindow="-120" windowWidth="29040" windowHeight="15840" tabRatio="802" activeTab="1" xr2:uid="{00E4B81A-EACB-46E8-9145-E5F5F37F6F0A}"/>
  </bookViews>
  <sheets>
    <sheet name="Grafer-energi" sheetId="35" r:id="rId1"/>
    <sheet name="Grafer-klima" sheetId="44" r:id="rId2"/>
    <sheet name="E2020" sheetId="41" r:id="rId3"/>
    <sheet name="E2018" sheetId="42" r:id="rId4"/>
    <sheet name="E2017" sheetId="40" r:id="rId5"/>
    <sheet name="E2015" sheetId="38" r:id="rId6"/>
    <sheet name="E2013" sheetId="36" r:id="rId7"/>
    <sheet name="E2011" sheetId="28" r:id="rId8"/>
    <sheet name="E2009" sheetId="18" r:id="rId9"/>
    <sheet name="E2007" sheetId="25" r:id="rId10"/>
    <sheet name="E1990" sheetId="27" r:id="rId11"/>
    <sheet name="Dyrehold2018" sheetId="46" r:id="rId12"/>
    <sheet name="Planteavl2018" sheetId="47" r:id="rId13"/>
    <sheet name="Arealanvendelse2018" sheetId="48" r:id="rId14"/>
    <sheet name="Industrielle processer 2018" sheetId="49" r:id="rId15"/>
    <sheet name="Affald og spildevand 2018" sheetId="50" r:id="rId16"/>
  </sheets>
  <externalReferences>
    <externalReference r:id="rId17"/>
  </externalReferences>
  <definedNames>
    <definedName name="_xlnm.Print_Area" localSheetId="10">'E1990'!$A$1:$AT$90</definedName>
    <definedName name="_xlnm.Print_Area" localSheetId="9">'E2007'!$A$1:$AT$90</definedName>
    <definedName name="_xlnm.Print_Area" localSheetId="8">'E2009'!$A$1:$AT$90</definedName>
    <definedName name="_xlnm.Print_Area" localSheetId="7">'E2011'!$A$1:$AT$90</definedName>
    <definedName name="_xlnm.Print_Area" localSheetId="6">'E2013'!$A$1:$AT$90</definedName>
    <definedName name="_xlnm.Print_Area" localSheetId="5">'E2015'!$A$1:$AT$90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9" i="44" l="1"/>
  <c r="AK69" i="42"/>
  <c r="AK69" i="40"/>
  <c r="AK69" i="38"/>
  <c r="AK69" i="36"/>
  <c r="AK69" i="28"/>
  <c r="AK69" i="18"/>
  <c r="AK69" i="25"/>
  <c r="AK69" i="27"/>
  <c r="AK69" i="41"/>
  <c r="AK73" i="42"/>
  <c r="AK73" i="40"/>
  <c r="AK73" i="38"/>
  <c r="AK73" i="36"/>
  <c r="AK73" i="28"/>
  <c r="AK73" i="18"/>
  <c r="AK73" i="25"/>
  <c r="AK73" i="27"/>
  <c r="AK73" i="41"/>
  <c r="AA72" i="27" l="1"/>
  <c r="S71" i="27"/>
  <c r="AA68" i="27"/>
  <c r="S67" i="27"/>
  <c r="F67" i="27" s="1"/>
  <c r="AA63" i="27"/>
  <c r="AA72" i="25"/>
  <c r="AA68" i="25"/>
  <c r="S67" i="25"/>
  <c r="F67" i="25" s="1"/>
  <c r="S65" i="25"/>
  <c r="H65" i="25" s="1"/>
  <c r="AA63" i="25"/>
  <c r="S62" i="25"/>
  <c r="AA68" i="18"/>
  <c r="AH65" i="18"/>
  <c r="AA63" i="18"/>
  <c r="S62" i="18"/>
  <c r="F62" i="18" s="1"/>
  <c r="S61" i="18"/>
  <c r="S71" i="28"/>
  <c r="F71" i="28" s="1"/>
  <c r="AA68" i="28"/>
  <c r="S67" i="28"/>
  <c r="AA63" i="28"/>
  <c r="S61" i="28"/>
  <c r="S71" i="36"/>
  <c r="AA68" i="36"/>
  <c r="AH65" i="36"/>
  <c r="S62" i="36"/>
  <c r="F62" i="36" s="1"/>
  <c r="S61" i="36"/>
  <c r="H61" i="36" s="1"/>
  <c r="AA72" i="38"/>
  <c r="S71" i="38"/>
  <c r="F71" i="38" s="1"/>
  <c r="S67" i="38"/>
  <c r="F67" i="38" s="1"/>
  <c r="AH65" i="38"/>
  <c r="S62" i="38"/>
  <c r="F62" i="38" s="1"/>
  <c r="S61" i="38"/>
  <c r="AA72" i="40"/>
  <c r="AA68" i="40"/>
  <c r="S67" i="40"/>
  <c r="AH65" i="40"/>
  <c r="S62" i="40"/>
  <c r="F62" i="40" s="1"/>
  <c r="S61" i="40"/>
  <c r="AA72" i="42"/>
  <c r="S71" i="42"/>
  <c r="S67" i="42"/>
  <c r="F67" i="42" s="1"/>
  <c r="AH65" i="42"/>
  <c r="AA63" i="42"/>
  <c r="S62" i="42"/>
  <c r="F62" i="42" s="1"/>
  <c r="AA72" i="41"/>
  <c r="S71" i="41"/>
  <c r="F71" i="41" s="1"/>
  <c r="AA63" i="41"/>
  <c r="S61" i="41"/>
  <c r="H61" i="41" s="1"/>
  <c r="AC74" i="27"/>
  <c r="AA74" i="27"/>
  <c r="AA73" i="27"/>
  <c r="AA70" i="27"/>
  <c r="AA69" i="27"/>
  <c r="AA66" i="27"/>
  <c r="AH65" i="27"/>
  <c r="AC65" i="27"/>
  <c r="S65" i="27"/>
  <c r="H65" i="27" s="1"/>
  <c r="AA64" i="27"/>
  <c r="S62" i="27"/>
  <c r="F62" i="27" s="1"/>
  <c r="S61" i="27"/>
  <c r="H61" i="27" s="1"/>
  <c r="AC74" i="25"/>
  <c r="AA74" i="25"/>
  <c r="AA73" i="25"/>
  <c r="S71" i="25"/>
  <c r="F71" i="25" s="1"/>
  <c r="AA70" i="25"/>
  <c r="AA69" i="25"/>
  <c r="AA66" i="25"/>
  <c r="AC65" i="25"/>
  <c r="AA64" i="25"/>
  <c r="S61" i="25"/>
  <c r="AC74" i="18"/>
  <c r="AA74" i="18"/>
  <c r="AA73" i="18"/>
  <c r="AA72" i="18"/>
  <c r="S71" i="18"/>
  <c r="F71" i="18" s="1"/>
  <c r="AA70" i="18"/>
  <c r="AA69" i="18"/>
  <c r="AA66" i="18"/>
  <c r="AC65" i="18"/>
  <c r="AA64" i="18"/>
  <c r="AC74" i="28"/>
  <c r="AA74" i="28"/>
  <c r="AA73" i="28"/>
  <c r="AA72" i="28"/>
  <c r="AA70" i="28"/>
  <c r="AA69" i="28"/>
  <c r="AA66" i="28"/>
  <c r="AC65" i="28"/>
  <c r="S65" i="28"/>
  <c r="AA64" i="28"/>
  <c r="AC74" i="36"/>
  <c r="AA74" i="36"/>
  <c r="AA73" i="36"/>
  <c r="AA72" i="36"/>
  <c r="AA70" i="36"/>
  <c r="AA69" i="36"/>
  <c r="S67" i="36"/>
  <c r="F67" i="36" s="1"/>
  <c r="AA66" i="36"/>
  <c r="AC65" i="36"/>
  <c r="AA64" i="36"/>
  <c r="AA63" i="36"/>
  <c r="AC74" i="38"/>
  <c r="AA74" i="38"/>
  <c r="AA73" i="38"/>
  <c r="AA70" i="38"/>
  <c r="AA69" i="38"/>
  <c r="AA68" i="38"/>
  <c r="AA66" i="38"/>
  <c r="AC65" i="38"/>
  <c r="AA64" i="38"/>
  <c r="AA63" i="38"/>
  <c r="AC74" i="40"/>
  <c r="AA74" i="40"/>
  <c r="AA73" i="40"/>
  <c r="S71" i="40"/>
  <c r="AA70" i="40"/>
  <c r="AA69" i="40"/>
  <c r="AA66" i="40"/>
  <c r="AC65" i="40"/>
  <c r="S65" i="40"/>
  <c r="H65" i="40" s="1"/>
  <c r="AA64" i="40"/>
  <c r="AA63" i="40"/>
  <c r="AA74" i="42"/>
  <c r="AA73" i="42"/>
  <c r="AA70" i="42"/>
  <c r="AA69" i="42"/>
  <c r="AA68" i="42"/>
  <c r="AA66" i="42"/>
  <c r="AA64" i="42"/>
  <c r="S61" i="42"/>
  <c r="AA74" i="41"/>
  <c r="AA73" i="41"/>
  <c r="AA70" i="41"/>
  <c r="AA69" i="41"/>
  <c r="AA68" i="41"/>
  <c r="S67" i="41"/>
  <c r="AA66" i="41"/>
  <c r="AH65" i="41"/>
  <c r="AA64" i="41"/>
  <c r="S62" i="41"/>
  <c r="AG64" i="41" l="1"/>
  <c r="AG64" i="36"/>
  <c r="S65" i="42"/>
  <c r="H65" i="42" s="1"/>
  <c r="H61" i="40"/>
  <c r="F71" i="36"/>
  <c r="S67" i="18"/>
  <c r="F67" i="18" s="1"/>
  <c r="F67" i="41"/>
  <c r="F62" i="25"/>
  <c r="S65" i="36"/>
  <c r="H65" i="36" s="1"/>
  <c r="AH65" i="25"/>
  <c r="AG65" i="25" s="1"/>
  <c r="H61" i="42"/>
  <c r="F71" i="40"/>
  <c r="H65" i="28"/>
  <c r="S65" i="38"/>
  <c r="H65" i="38" s="1"/>
  <c r="F71" i="27"/>
  <c r="H61" i="25"/>
  <c r="S65" i="18"/>
  <c r="H65" i="18" s="1"/>
  <c r="H61" i="18"/>
  <c r="H61" i="28"/>
  <c r="AH65" i="28"/>
  <c r="F67" i="28"/>
  <c r="S62" i="28"/>
  <c r="F62" i="28" s="1"/>
  <c r="H61" i="38"/>
  <c r="F67" i="40"/>
  <c r="F71" i="42"/>
  <c r="F62" i="41"/>
  <c r="S65" i="41"/>
  <c r="H65" i="41" s="1"/>
  <c r="G5" i="50"/>
  <c r="I5" i="49"/>
  <c r="J4" i="48"/>
  <c r="Z4" i="47"/>
  <c r="V4" i="46"/>
  <c r="AG64" i="27"/>
  <c r="AG64" i="25"/>
  <c r="AG65" i="38"/>
  <c r="AG65" i="41"/>
  <c r="AG67" i="42" l="1"/>
  <c r="AG74" i="42"/>
  <c r="AG70" i="42"/>
  <c r="AG74" i="28"/>
  <c r="AG67" i="28"/>
  <c r="AG70" i="28"/>
  <c r="AG64" i="42"/>
  <c r="AG70" i="40"/>
  <c r="AG67" i="40"/>
  <c r="AG74" i="40"/>
  <c r="AG70" i="18"/>
  <c r="AG74" i="18"/>
  <c r="AG67" i="18"/>
  <c r="AG65" i="40"/>
  <c r="AG64" i="38"/>
  <c r="AG70" i="38"/>
  <c r="AG74" i="38"/>
  <c r="AG67" i="38"/>
  <c r="AG74" i="25"/>
  <c r="AG67" i="25"/>
  <c r="AG70" i="25"/>
  <c r="AG65" i="18"/>
  <c r="AG70" i="41"/>
  <c r="AG74" i="41"/>
  <c r="AG67" i="41"/>
  <c r="AG64" i="40"/>
  <c r="AG64" i="18"/>
  <c r="AG74" i="36"/>
  <c r="AG67" i="36"/>
  <c r="AG70" i="36"/>
  <c r="AG74" i="27"/>
  <c r="AG67" i="27"/>
  <c r="AG70" i="27"/>
  <c r="AG65" i="42"/>
  <c r="AG65" i="36"/>
  <c r="AG65" i="28"/>
  <c r="AG65" i="27"/>
  <c r="AG64" i="28"/>
  <c r="AI46" i="27"/>
  <c r="AI46" i="25"/>
  <c r="AI46" i="18"/>
  <c r="AI46" i="28"/>
  <c r="AI46" i="36"/>
  <c r="AI46" i="38"/>
  <c r="AI47" i="38"/>
  <c r="AI46" i="40"/>
  <c r="AI46" i="42"/>
  <c r="AI47" i="27" l="1"/>
  <c r="AI47" i="25"/>
  <c r="AI47" i="18"/>
  <c r="AI47" i="28"/>
  <c r="AI47" i="36"/>
  <c r="AI47" i="40"/>
  <c r="AI47" i="42"/>
  <c r="S77" i="42" l="1"/>
  <c r="S77" i="40"/>
  <c r="S77" i="38"/>
  <c r="S77" i="36"/>
  <c r="S77" i="28"/>
  <c r="S77" i="18"/>
  <c r="S77" i="25"/>
  <c r="S77" i="27"/>
  <c r="C594" i="35" l="1"/>
  <c r="E594" i="35"/>
  <c r="F594" i="35"/>
  <c r="G594" i="35"/>
  <c r="H594" i="35"/>
  <c r="I594" i="35"/>
  <c r="J594" i="35"/>
  <c r="K594" i="35"/>
  <c r="S76" i="42" l="1"/>
  <c r="Q46" i="27"/>
  <c r="Q46" i="25"/>
  <c r="Q46" i="18"/>
  <c r="Q46" i="28"/>
  <c r="Q46" i="36"/>
  <c r="Q46" i="38"/>
  <c r="Q46" i="40"/>
  <c r="AI39" i="42" l="1"/>
  <c r="AI40" i="42"/>
  <c r="W28" i="42"/>
  <c r="R28" i="42"/>
  <c r="S76" i="27"/>
  <c r="AI40" i="27"/>
  <c r="AI39" i="27"/>
  <c r="S76" i="25"/>
  <c r="AI40" i="25"/>
  <c r="AI39" i="25"/>
  <c r="S76" i="18"/>
  <c r="AI40" i="18"/>
  <c r="AI39" i="18"/>
  <c r="S76" i="28"/>
  <c r="S76" i="36"/>
  <c r="S76" i="38"/>
  <c r="S76" i="40"/>
  <c r="AI40" i="38" l="1"/>
  <c r="AI40" i="28"/>
  <c r="AI39" i="38"/>
  <c r="AI39" i="28"/>
  <c r="R28" i="27"/>
  <c r="W28" i="27"/>
  <c r="W28" i="38"/>
  <c r="R28" i="38"/>
  <c r="R28" i="28"/>
  <c r="W28" i="28"/>
  <c r="R28" i="25"/>
  <c r="W28" i="25"/>
  <c r="AI39" i="40"/>
  <c r="AI39" i="36"/>
  <c r="W28" i="18"/>
  <c r="R28" i="18"/>
  <c r="W28" i="36"/>
  <c r="R28" i="36"/>
  <c r="W28" i="40"/>
  <c r="R28" i="40"/>
  <c r="AI40" i="40"/>
  <c r="AI40" i="36"/>
  <c r="AT78" i="41"/>
  <c r="AK78" i="41" s="1"/>
  <c r="AT76" i="41"/>
  <c r="AK76" i="41" s="1"/>
  <c r="AA75" i="41"/>
  <c r="AS75" i="41" s="1"/>
  <c r="AK75" i="41" s="1"/>
  <c r="AT72" i="41"/>
  <c r="AK72" i="41" s="1"/>
  <c r="AT71" i="41"/>
  <c r="AK71" i="41" s="1"/>
  <c r="AT68" i="41"/>
  <c r="AK68" i="41" s="1"/>
  <c r="L594" i="35"/>
  <c r="AT62" i="41"/>
  <c r="AK62" i="41" s="1"/>
  <c r="AQ55" i="41"/>
  <c r="AK55" i="41" s="1"/>
  <c r="AI47" i="41"/>
  <c r="AA42" i="41"/>
  <c r="AA41" i="41"/>
  <c r="N81" i="41"/>
  <c r="N82" i="41" s="1"/>
  <c r="S28" i="41"/>
  <c r="AA26" i="41"/>
  <c r="AG26" i="41" s="1"/>
  <c r="AA24" i="41"/>
  <c r="AG24" i="41" s="1"/>
  <c r="C1112" i="35" s="1"/>
  <c r="AA23" i="41"/>
  <c r="AG23" i="41" s="1"/>
  <c r="Z81" i="41"/>
  <c r="Z82" i="41" s="1"/>
  <c r="AA21" i="41"/>
  <c r="AQ21" i="41" s="1"/>
  <c r="AK21" i="41" s="1"/>
  <c r="AA20" i="41"/>
  <c r="AQ20" i="41" s="1"/>
  <c r="AK20" i="41" s="1"/>
  <c r="AA18" i="41"/>
  <c r="AL18" i="41" s="1"/>
  <c r="AK18" i="41" s="1"/>
  <c r="AA17" i="41"/>
  <c r="AL17" i="41" s="1"/>
  <c r="AK17" i="41" s="1"/>
  <c r="AA16" i="41"/>
  <c r="AL16" i="41" s="1"/>
  <c r="AK16" i="41" s="1"/>
  <c r="AK11" i="41"/>
  <c r="AK9" i="41"/>
  <c r="AH9" i="41" s="1"/>
  <c r="AG40" i="41"/>
  <c r="Z86" i="41"/>
  <c r="Y86" i="41"/>
  <c r="X86" i="41"/>
  <c r="W86" i="41"/>
  <c r="V86" i="41"/>
  <c r="U86" i="41"/>
  <c r="T86" i="41"/>
  <c r="S86" i="41"/>
  <c r="R86" i="41"/>
  <c r="Q86" i="41"/>
  <c r="P86" i="41"/>
  <c r="O86" i="41"/>
  <c r="N86" i="41"/>
  <c r="M86" i="41"/>
  <c r="I86" i="41"/>
  <c r="H86" i="41"/>
  <c r="G86" i="41"/>
  <c r="F86" i="41"/>
  <c r="E86" i="41"/>
  <c r="D86" i="41"/>
  <c r="C86" i="41"/>
  <c r="B86" i="41"/>
  <c r="Z84" i="41"/>
  <c r="Y84" i="41"/>
  <c r="X84" i="41"/>
  <c r="W84" i="41"/>
  <c r="V84" i="41"/>
  <c r="Q84" i="41"/>
  <c r="P84" i="41"/>
  <c r="O84" i="41"/>
  <c r="N84" i="41"/>
  <c r="M84" i="41"/>
  <c r="L81" i="41"/>
  <c r="K81" i="41"/>
  <c r="J81" i="41"/>
  <c r="AA78" i="41"/>
  <c r="AT77" i="41"/>
  <c r="AK77" i="41" s="1"/>
  <c r="S77" i="41"/>
  <c r="AT73" i="41"/>
  <c r="AT70" i="41"/>
  <c r="AK70" i="41" s="1"/>
  <c r="AT69" i="41"/>
  <c r="AT67" i="41"/>
  <c r="AK67" i="41" s="1"/>
  <c r="AT66" i="41"/>
  <c r="AK66" i="41" s="1"/>
  <c r="AT63" i="41"/>
  <c r="AK63" i="41" s="1"/>
  <c r="AT61" i="41"/>
  <c r="AK61" i="41" s="1"/>
  <c r="AA60" i="41"/>
  <c r="AK59" i="41"/>
  <c r="AI59" i="41"/>
  <c r="AJ59" i="41" s="1"/>
  <c r="AA59" i="41"/>
  <c r="AK58" i="41"/>
  <c r="AI58" i="41"/>
  <c r="AJ58" i="41" s="1"/>
  <c r="AA58" i="41"/>
  <c r="AK57" i="41"/>
  <c r="AI57" i="41"/>
  <c r="AA57" i="41"/>
  <c r="AQ56" i="41"/>
  <c r="AK56" i="41" s="1"/>
  <c r="AA56" i="41"/>
  <c r="AA55" i="41"/>
  <c r="AK54" i="41"/>
  <c r="AA54" i="41"/>
  <c r="AG54" i="41" s="1"/>
  <c r="AK53" i="41"/>
  <c r="AK52" i="41"/>
  <c r="AA51" i="41"/>
  <c r="AK50" i="41"/>
  <c r="AA50" i="41"/>
  <c r="AK49" i="41"/>
  <c r="AA49" i="41"/>
  <c r="AI49" i="41" s="1"/>
  <c r="AK48" i="41"/>
  <c r="AA48" i="41"/>
  <c r="AK47" i="41"/>
  <c r="AG47" i="41"/>
  <c r="AA47" i="41"/>
  <c r="AK46" i="41"/>
  <c r="AK45" i="41"/>
  <c r="AK44" i="41"/>
  <c r="AA43" i="41"/>
  <c r="AK42" i="41"/>
  <c r="AK41" i="41"/>
  <c r="AK40" i="41"/>
  <c r="AI40" i="41"/>
  <c r="AA40" i="41"/>
  <c r="AK39" i="41"/>
  <c r="AK38" i="41"/>
  <c r="AK37" i="41"/>
  <c r="AA36" i="41"/>
  <c r="AK35" i="41"/>
  <c r="AK34" i="41"/>
  <c r="AA33" i="41"/>
  <c r="AK32" i="41"/>
  <c r="AA32" i="41"/>
  <c r="AK31" i="41"/>
  <c r="AK30" i="41"/>
  <c r="AK29" i="41"/>
  <c r="AK28" i="41"/>
  <c r="R28" i="41"/>
  <c r="AK27" i="41"/>
  <c r="AK26" i="41"/>
  <c r="AK25" i="41"/>
  <c r="AA25" i="41"/>
  <c r="AG25" i="41" s="1"/>
  <c r="C1113" i="35" s="1"/>
  <c r="AK24" i="41"/>
  <c r="AK23" i="41"/>
  <c r="AA14" i="41"/>
  <c r="AL14" i="41" s="1"/>
  <c r="AK14" i="41" s="1"/>
  <c r="AK12" i="41"/>
  <c r="AK10" i="41"/>
  <c r="AH10" i="41" s="1"/>
  <c r="AA10" i="41"/>
  <c r="AA9" i="41"/>
  <c r="AA8" i="41"/>
  <c r="AT73" i="27"/>
  <c r="AT73" i="25"/>
  <c r="AT73" i="18"/>
  <c r="AT73" i="28"/>
  <c r="AT73" i="36"/>
  <c r="AT73" i="38"/>
  <c r="AT73" i="40"/>
  <c r="AT69" i="27"/>
  <c r="AT69" i="25"/>
  <c r="AT69" i="18"/>
  <c r="AT69" i="28"/>
  <c r="AT69" i="36"/>
  <c r="AT69" i="38"/>
  <c r="AT69" i="40"/>
  <c r="AT73" i="42"/>
  <c r="AT74" i="42"/>
  <c r="AT69" i="42"/>
  <c r="AT70" i="42"/>
  <c r="AT72" i="42"/>
  <c r="V81" i="41" l="1"/>
  <c r="V82" i="41" s="1"/>
  <c r="G81" i="41"/>
  <c r="G82" i="41" s="1"/>
  <c r="W28" i="41"/>
  <c r="AA79" i="41"/>
  <c r="AT79" i="41" s="1"/>
  <c r="AK79" i="41" s="1"/>
  <c r="AJ57" i="41"/>
  <c r="X81" i="41"/>
  <c r="X82" i="41" s="1"/>
  <c r="AI48" i="41"/>
  <c r="AG9" i="41"/>
  <c r="Y81" i="41"/>
  <c r="Y82" i="41" s="1"/>
  <c r="D1109" i="35"/>
  <c r="AT74" i="41"/>
  <c r="AK74" i="41" s="1"/>
  <c r="AT64" i="41"/>
  <c r="AK64" i="41" s="1"/>
  <c r="AI31" i="41"/>
  <c r="Q31" i="41" s="1"/>
  <c r="AA31" i="41" s="1"/>
  <c r="AG58" i="41"/>
  <c r="AG31" i="41"/>
  <c r="AG78" i="41"/>
  <c r="AG10" i="41"/>
  <c r="AA35" i="41"/>
  <c r="AI35" i="41" s="1"/>
  <c r="AI39" i="41"/>
  <c r="Q39" i="41" s="1"/>
  <c r="AA39" i="41" s="1"/>
  <c r="AI41" i="41"/>
  <c r="AA80" i="41"/>
  <c r="AT80" i="41" s="1"/>
  <c r="AK80" i="41" s="1"/>
  <c r="B81" i="41"/>
  <c r="B82" i="41" s="1"/>
  <c r="C1114" i="35"/>
  <c r="AG32" i="41"/>
  <c r="AI46" i="41"/>
  <c r="Q46" i="41" s="1"/>
  <c r="AA46" i="41" s="1"/>
  <c r="E81" i="41"/>
  <c r="E82" i="41" s="1"/>
  <c r="AA22" i="41"/>
  <c r="AQ22" i="41" s="1"/>
  <c r="AK22" i="41" s="1"/>
  <c r="AA29" i="41"/>
  <c r="AG29" i="41" s="1"/>
  <c r="P81" i="41"/>
  <c r="P82" i="41" s="1"/>
  <c r="AA45" i="41"/>
  <c r="AI45" i="41" s="1"/>
  <c r="AA52" i="41"/>
  <c r="AI52" i="41" s="1"/>
  <c r="AA53" i="41"/>
  <c r="AI53" i="41" s="1"/>
  <c r="AK8" i="41"/>
  <c r="AH8" i="41" s="1"/>
  <c r="I81" i="41"/>
  <c r="AA34" i="41"/>
  <c r="AG34" i="41" s="1"/>
  <c r="AA37" i="41"/>
  <c r="AG37" i="41" s="1"/>
  <c r="AA38" i="41"/>
  <c r="AI38" i="41" s="1"/>
  <c r="AA44" i="41"/>
  <c r="AG44" i="41" s="1"/>
  <c r="AA30" i="41"/>
  <c r="AI30" i="41" s="1"/>
  <c r="AI28" i="41"/>
  <c r="AG55" i="41"/>
  <c r="S76" i="41"/>
  <c r="F76" i="41" s="1"/>
  <c r="C81" i="41"/>
  <c r="C82" i="41" s="1"/>
  <c r="M81" i="41"/>
  <c r="M82" i="41" s="1"/>
  <c r="D81" i="41"/>
  <c r="D82" i="41" s="1"/>
  <c r="O81" i="41"/>
  <c r="O82" i="41" s="1"/>
  <c r="AI42" i="41"/>
  <c r="AG42" i="41"/>
  <c r="AS81" i="41"/>
  <c r="AI32" i="41"/>
  <c r="AH11" i="41"/>
  <c r="AA13" i="41"/>
  <c r="R27" i="41"/>
  <c r="R81" i="41" s="1"/>
  <c r="T28" i="41"/>
  <c r="AG39" i="41"/>
  <c r="AG49" i="41"/>
  <c r="AG57" i="41"/>
  <c r="F77" i="41"/>
  <c r="U81" i="41"/>
  <c r="U82" i="41" s="1"/>
  <c r="AP81" i="41"/>
  <c r="S27" i="41"/>
  <c r="AA83" i="41"/>
  <c r="AA15" i="41"/>
  <c r="AL15" i="41" s="1"/>
  <c r="AK15" i="41" s="1"/>
  <c r="AA19" i="41"/>
  <c r="AL19" i="41" s="1"/>
  <c r="AK19" i="41" s="1"/>
  <c r="T27" i="41"/>
  <c r="AG46" i="41"/>
  <c r="AG59" i="41"/>
  <c r="AT65" i="41"/>
  <c r="AK65" i="41" s="1"/>
  <c r="W27" i="41"/>
  <c r="AG28" i="41"/>
  <c r="AG45" i="41"/>
  <c r="H81" i="41"/>
  <c r="H82" i="41" s="1"/>
  <c r="AI29" i="41" l="1"/>
  <c r="AI33" i="41" s="1"/>
  <c r="W81" i="41"/>
  <c r="W82" i="41" s="1"/>
  <c r="AI34" i="41"/>
  <c r="AI36" i="41" s="1"/>
  <c r="AJ36" i="41" s="1"/>
  <c r="AI37" i="41"/>
  <c r="AI43" i="41" s="1"/>
  <c r="AJ43" i="41" s="1"/>
  <c r="T81" i="41"/>
  <c r="T82" i="41" s="1"/>
  <c r="AI60" i="41"/>
  <c r="AJ60" i="41" s="1"/>
  <c r="AN60" i="41" s="1"/>
  <c r="AG52" i="41"/>
  <c r="C1111" i="35" s="1"/>
  <c r="AG35" i="41"/>
  <c r="S81" i="41"/>
  <c r="S82" i="41" s="1"/>
  <c r="AG38" i="41"/>
  <c r="AG53" i="41"/>
  <c r="D1107" i="35"/>
  <c r="I82" i="41"/>
  <c r="L870" i="35"/>
  <c r="L735" i="35"/>
  <c r="AG11" i="41"/>
  <c r="C947" i="35"/>
  <c r="AI44" i="41"/>
  <c r="AI51" i="41" s="1"/>
  <c r="AJ51" i="41" s="1"/>
  <c r="AM51" i="41" s="1"/>
  <c r="F81" i="41"/>
  <c r="F82" i="41" s="1"/>
  <c r="E34" i="44" s="1"/>
  <c r="U84" i="41"/>
  <c r="AT13" i="41"/>
  <c r="AT81" i="41" s="1"/>
  <c r="AQ13" i="41"/>
  <c r="AL13" i="41"/>
  <c r="AA27" i="41"/>
  <c r="R82" i="41"/>
  <c r="AA84" i="41"/>
  <c r="R84" i="41"/>
  <c r="AH81" i="41"/>
  <c r="AG8" i="41"/>
  <c r="Q11" i="41"/>
  <c r="AQ60" i="41" l="1"/>
  <c r="AL60" i="41"/>
  <c r="AR60" i="41"/>
  <c r="AM60" i="41"/>
  <c r="T84" i="41"/>
  <c r="AO60" i="41"/>
  <c r="S84" i="41"/>
  <c r="AQ51" i="41"/>
  <c r="AR51" i="41"/>
  <c r="AO51" i="41"/>
  <c r="AG12" i="41"/>
  <c r="C1115" i="35" s="1"/>
  <c r="D1108" i="35"/>
  <c r="AN51" i="41"/>
  <c r="AL51" i="41"/>
  <c r="AO43" i="41"/>
  <c r="AQ43" i="41"/>
  <c r="AN43" i="41"/>
  <c r="AR43" i="41"/>
  <c r="AM43" i="41"/>
  <c r="AL43" i="41"/>
  <c r="AJ33" i="41"/>
  <c r="AI81" i="41"/>
  <c r="AR36" i="41"/>
  <c r="AQ36" i="41"/>
  <c r="AO36" i="41"/>
  <c r="AN36" i="41"/>
  <c r="AM36" i="41"/>
  <c r="AL36" i="41"/>
  <c r="Q81" i="41"/>
  <c r="AA11" i="41"/>
  <c r="AK13" i="41"/>
  <c r="AK60" i="41" l="1"/>
  <c r="AK51" i="41"/>
  <c r="A12" i="41"/>
  <c r="A81" i="41" s="1"/>
  <c r="A82" i="41" s="1"/>
  <c r="AC83" i="41"/>
  <c r="AG81" i="41"/>
  <c r="AM33" i="41"/>
  <c r="AM81" i="41" s="1"/>
  <c r="AR33" i="41"/>
  <c r="AR81" i="41" s="1"/>
  <c r="AJ81" i="41"/>
  <c r="AQ33" i="41"/>
  <c r="AQ81" i="41" s="1"/>
  <c r="AO33" i="41"/>
  <c r="AO81" i="41" s="1"/>
  <c r="AN33" i="41"/>
  <c r="AN81" i="41" s="1"/>
  <c r="AL33" i="41"/>
  <c r="AK36" i="41"/>
  <c r="AK43" i="41"/>
  <c r="AA82" i="41" l="1"/>
  <c r="AC82" i="41" s="1"/>
  <c r="E35" i="44"/>
  <c r="E957" i="35"/>
  <c r="AA12" i="41"/>
  <c r="AA81" i="41" s="1"/>
  <c r="AC84" i="41" s="1"/>
  <c r="AK33" i="41"/>
  <c r="AK81" i="41" s="1"/>
  <c r="AL81" i="41"/>
  <c r="AA25" i="40" l="1"/>
  <c r="AG25" i="40" s="1"/>
  <c r="AA23" i="40"/>
  <c r="AG23" i="40" s="1"/>
  <c r="AA21" i="40"/>
  <c r="AQ21" i="40" s="1"/>
  <c r="AK21" i="40" s="1"/>
  <c r="AA13" i="40"/>
  <c r="AT76" i="38"/>
  <c r="AK76" i="38" s="1"/>
  <c r="AQ56" i="38"/>
  <c r="AK56" i="38" s="1"/>
  <c r="AQ55" i="38"/>
  <c r="AK55" i="38" s="1"/>
  <c r="AI32" i="38"/>
  <c r="U81" i="38"/>
  <c r="U82" i="38" s="1"/>
  <c r="M81" i="38"/>
  <c r="M82" i="38" s="1"/>
  <c r="AA20" i="38"/>
  <c r="AQ20" i="38" s="1"/>
  <c r="AK20" i="38" s="1"/>
  <c r="AA19" i="38"/>
  <c r="AL19" i="38" s="1"/>
  <c r="AK19" i="38" s="1"/>
  <c r="AK11" i="38"/>
  <c r="AK10" i="38"/>
  <c r="AH10" i="38" s="1"/>
  <c r="AG10" i="38" s="1"/>
  <c r="AT62" i="36"/>
  <c r="AK62" i="36" s="1"/>
  <c r="AQ56" i="36"/>
  <c r="AK56" i="36" s="1"/>
  <c r="G81" i="36"/>
  <c r="G82" i="36" s="1"/>
  <c r="Y81" i="36"/>
  <c r="Y82" i="36" s="1"/>
  <c r="V81" i="36"/>
  <c r="V82" i="36" s="1"/>
  <c r="N81" i="36"/>
  <c r="N82" i="36" s="1"/>
  <c r="C81" i="36"/>
  <c r="C82" i="36" s="1"/>
  <c r="AA25" i="36"/>
  <c r="AG25" i="36" s="1"/>
  <c r="AA23" i="36"/>
  <c r="AG23" i="36" s="1"/>
  <c r="AK11" i="36"/>
  <c r="AG57" i="36"/>
  <c r="AT76" i="28"/>
  <c r="AK76" i="28" s="1"/>
  <c r="AQ56" i="28"/>
  <c r="AK56" i="28" s="1"/>
  <c r="AQ55" i="28"/>
  <c r="AK55" i="28" s="1"/>
  <c r="AG32" i="28"/>
  <c r="AA23" i="28"/>
  <c r="AG23" i="28" s="1"/>
  <c r="AA19" i="28"/>
  <c r="AL19" i="28" s="1"/>
  <c r="AK19" i="28" s="1"/>
  <c r="AK11" i="28"/>
  <c r="AK10" i="28"/>
  <c r="AH10" i="28" s="1"/>
  <c r="AG10" i="28" s="1"/>
  <c r="AQ56" i="18"/>
  <c r="AK56" i="18" s="1"/>
  <c r="X81" i="18"/>
  <c r="X82" i="18" s="1"/>
  <c r="P81" i="18"/>
  <c r="P82" i="18" s="1"/>
  <c r="AA20" i="18"/>
  <c r="AQ20" i="18" s="1"/>
  <c r="AK20" i="18" s="1"/>
  <c r="AK11" i="18"/>
  <c r="AH11" i="18" s="1"/>
  <c r="AT61" i="25"/>
  <c r="AK61" i="25" s="1"/>
  <c r="AQ56" i="25"/>
  <c r="AK56" i="25" s="1"/>
  <c r="R27" i="25"/>
  <c r="AA20" i="25"/>
  <c r="AQ20" i="25" s="1"/>
  <c r="AK20" i="25" s="1"/>
  <c r="AA15" i="25"/>
  <c r="AL15" i="25" s="1"/>
  <c r="AK15" i="25" s="1"/>
  <c r="AK11" i="25"/>
  <c r="AT76" i="27"/>
  <c r="AK76" i="27" s="1"/>
  <c r="AT61" i="27"/>
  <c r="AK61" i="27" s="1"/>
  <c r="AQ56" i="27"/>
  <c r="AK56" i="27" s="1"/>
  <c r="AA21" i="27"/>
  <c r="AQ21" i="27" s="1"/>
  <c r="AK21" i="27" s="1"/>
  <c r="AK11" i="27"/>
  <c r="AH11" i="27" s="1"/>
  <c r="AK9" i="27"/>
  <c r="AH9" i="27" s="1"/>
  <c r="AG9" i="27" s="1"/>
  <c r="AG47" i="27"/>
  <c r="F89" i="27"/>
  <c r="Z86" i="27"/>
  <c r="Y86" i="27"/>
  <c r="X86" i="27"/>
  <c r="W86" i="27"/>
  <c r="V86" i="27"/>
  <c r="U86" i="27"/>
  <c r="T86" i="27"/>
  <c r="S86" i="27"/>
  <c r="R86" i="27"/>
  <c r="Q86" i="27"/>
  <c r="P86" i="27"/>
  <c r="O86" i="27"/>
  <c r="N86" i="27"/>
  <c r="M86" i="27"/>
  <c r="I86" i="27"/>
  <c r="H86" i="27"/>
  <c r="G86" i="27"/>
  <c r="F86" i="27"/>
  <c r="E86" i="27"/>
  <c r="D86" i="27"/>
  <c r="C86" i="27"/>
  <c r="B86" i="27"/>
  <c r="Z84" i="27"/>
  <c r="Y84" i="27"/>
  <c r="X84" i="27"/>
  <c r="W84" i="27"/>
  <c r="V84" i="27"/>
  <c r="Q84" i="27"/>
  <c r="P84" i="27"/>
  <c r="O84" i="27"/>
  <c r="N84" i="27"/>
  <c r="M84" i="27"/>
  <c r="L81" i="27"/>
  <c r="K81" i="27"/>
  <c r="J81" i="27"/>
  <c r="AA80" i="27"/>
  <c r="AT80" i="27" s="1"/>
  <c r="AK80" i="27" s="1"/>
  <c r="AA79" i="27"/>
  <c r="AT79" i="27" s="1"/>
  <c r="AK79" i="27" s="1"/>
  <c r="AT78" i="27"/>
  <c r="AK78" i="27" s="1"/>
  <c r="AA78" i="27"/>
  <c r="AT77" i="27"/>
  <c r="AK77" i="27" s="1"/>
  <c r="F77" i="27"/>
  <c r="AA75" i="27"/>
  <c r="AS75" i="27" s="1"/>
  <c r="AK75" i="27" s="1"/>
  <c r="AT74" i="27"/>
  <c r="AK74" i="27" s="1"/>
  <c r="AT72" i="27"/>
  <c r="AK72" i="27" s="1"/>
  <c r="AT71" i="27"/>
  <c r="AK71" i="27" s="1"/>
  <c r="AT70" i="27"/>
  <c r="AK70" i="27"/>
  <c r="AT68" i="27"/>
  <c r="AK68" i="27" s="1"/>
  <c r="AT67" i="27"/>
  <c r="AK67" i="27" s="1"/>
  <c r="AT66" i="27"/>
  <c r="AK66" i="27" s="1"/>
  <c r="AT65" i="27"/>
  <c r="AK65" i="27" s="1"/>
  <c r="AT64" i="27"/>
  <c r="AK64" i="27" s="1"/>
  <c r="AT63" i="27"/>
  <c r="AK63" i="27" s="1"/>
  <c r="AA60" i="27"/>
  <c r="AK59" i="27"/>
  <c r="AJ59" i="27"/>
  <c r="AI59" i="27"/>
  <c r="AA59" i="27"/>
  <c r="AK58" i="27"/>
  <c r="AI58" i="27"/>
  <c r="AJ58" i="27" s="1"/>
  <c r="AA58" i="27"/>
  <c r="AK57" i="27"/>
  <c r="AI57" i="27"/>
  <c r="AJ57" i="27" s="1"/>
  <c r="AA57" i="27"/>
  <c r="AA56" i="27"/>
  <c r="AQ55" i="27"/>
  <c r="AK55" i="27" s="1"/>
  <c r="AA55" i="27"/>
  <c r="AK54" i="27"/>
  <c r="AA54" i="27"/>
  <c r="AG54" i="27" s="1"/>
  <c r="AK53" i="27"/>
  <c r="AK52" i="27"/>
  <c r="AA51" i="27"/>
  <c r="AK50" i="27"/>
  <c r="AA50" i="27"/>
  <c r="AK49" i="27"/>
  <c r="AA49" i="27"/>
  <c r="AG49" i="27" s="1"/>
  <c r="AK48" i="27"/>
  <c r="AI48" i="27"/>
  <c r="AA48" i="27"/>
  <c r="AK47" i="27"/>
  <c r="AA47" i="27"/>
  <c r="AK46" i="27"/>
  <c r="AA46" i="27"/>
  <c r="AK45" i="27"/>
  <c r="AA45" i="27"/>
  <c r="AI45" i="27" s="1"/>
  <c r="AK44" i="27"/>
  <c r="AA43" i="27"/>
  <c r="AK42" i="27"/>
  <c r="AA42" i="27"/>
  <c r="AI42" i="27" s="1"/>
  <c r="AK41" i="27"/>
  <c r="AA41" i="27"/>
  <c r="AI41" i="27" s="1"/>
  <c r="AK40" i="27"/>
  <c r="AA40" i="27"/>
  <c r="AK39" i="27"/>
  <c r="AK38" i="27"/>
  <c r="AK37" i="27"/>
  <c r="AA36" i="27"/>
  <c r="AK35" i="27"/>
  <c r="AK34" i="27"/>
  <c r="AA33" i="27"/>
  <c r="AK32" i="27"/>
  <c r="AI32" i="27"/>
  <c r="AA32" i="27"/>
  <c r="AK31" i="27"/>
  <c r="AI31" i="27"/>
  <c r="Q31" i="27" s="1"/>
  <c r="AA31" i="27" s="1"/>
  <c r="AK30" i="27"/>
  <c r="AK29" i="27"/>
  <c r="AK28" i="27"/>
  <c r="AK27" i="27"/>
  <c r="W27" i="27"/>
  <c r="S27" i="27"/>
  <c r="T27" i="27"/>
  <c r="AK26" i="27"/>
  <c r="AK25" i="27"/>
  <c r="AA25" i="27"/>
  <c r="AG25" i="27" s="1"/>
  <c r="AK24" i="27"/>
  <c r="AK23" i="27"/>
  <c r="AA23" i="27"/>
  <c r="AG23" i="27" s="1"/>
  <c r="AA20" i="27"/>
  <c r="AQ20" i="27" s="1"/>
  <c r="AK20" i="27" s="1"/>
  <c r="AA19" i="27"/>
  <c r="AL19" i="27" s="1"/>
  <c r="AK19" i="27" s="1"/>
  <c r="AA17" i="27"/>
  <c r="AL17" i="27" s="1"/>
  <c r="AK17" i="27" s="1"/>
  <c r="AK12" i="27"/>
  <c r="AK10" i="27"/>
  <c r="AH10" i="27" s="1"/>
  <c r="AG10" i="27" s="1"/>
  <c r="AA10" i="27"/>
  <c r="AA9" i="27"/>
  <c r="AP81" i="27"/>
  <c r="AA8" i="27"/>
  <c r="F89" i="25"/>
  <c r="Z86" i="25"/>
  <c r="Y86" i="25"/>
  <c r="X86" i="25"/>
  <c r="W86" i="25"/>
  <c r="V86" i="25"/>
  <c r="U86" i="25"/>
  <c r="T86" i="25"/>
  <c r="S86" i="25"/>
  <c r="R86" i="25"/>
  <c r="Q86" i="25"/>
  <c r="P86" i="25"/>
  <c r="O86" i="25"/>
  <c r="N86" i="25"/>
  <c r="M86" i="25"/>
  <c r="I86" i="25"/>
  <c r="H86" i="25"/>
  <c r="G86" i="25"/>
  <c r="F86" i="25"/>
  <c r="E86" i="25"/>
  <c r="D86" i="25"/>
  <c r="C86" i="25"/>
  <c r="B86" i="25"/>
  <c r="Z84" i="25"/>
  <c r="Y84" i="25"/>
  <c r="X84" i="25"/>
  <c r="W84" i="25"/>
  <c r="V84" i="25"/>
  <c r="Q84" i="25"/>
  <c r="P84" i="25"/>
  <c r="O84" i="25"/>
  <c r="N84" i="25"/>
  <c r="M84" i="25"/>
  <c r="L81" i="25"/>
  <c r="K81" i="25"/>
  <c r="J81" i="25"/>
  <c r="AA80" i="25"/>
  <c r="AT80" i="25" s="1"/>
  <c r="AK80" i="25" s="1"/>
  <c r="AA79" i="25"/>
  <c r="AT79" i="25" s="1"/>
  <c r="AK79" i="25" s="1"/>
  <c r="AT78" i="25"/>
  <c r="AK78" i="25" s="1"/>
  <c r="AA78" i="25"/>
  <c r="AT77" i="25"/>
  <c r="AK77" i="25" s="1"/>
  <c r="F77" i="25"/>
  <c r="AT76" i="25"/>
  <c r="AK76" i="25" s="1"/>
  <c r="F76" i="25"/>
  <c r="AA75" i="25"/>
  <c r="AS75" i="25" s="1"/>
  <c r="AK75" i="25" s="1"/>
  <c r="AT74" i="25"/>
  <c r="AK74" i="25" s="1"/>
  <c r="AT72" i="25"/>
  <c r="AK72" i="25" s="1"/>
  <c r="AT71" i="25"/>
  <c r="AK71" i="25" s="1"/>
  <c r="AT70" i="25"/>
  <c r="AK70" i="25" s="1"/>
  <c r="AT68" i="25"/>
  <c r="AK68" i="25" s="1"/>
  <c r="AT67" i="25"/>
  <c r="AK67" i="25" s="1"/>
  <c r="AT66" i="25"/>
  <c r="AK66" i="25" s="1"/>
  <c r="AT65" i="25"/>
  <c r="AK65" i="25" s="1"/>
  <c r="AT64" i="25"/>
  <c r="AK64" i="25" s="1"/>
  <c r="AT63" i="25"/>
  <c r="AK63" i="25" s="1"/>
  <c r="AA60" i="25"/>
  <c r="AK59" i="25"/>
  <c r="AI59" i="25"/>
  <c r="AJ59" i="25" s="1"/>
  <c r="AA59" i="25"/>
  <c r="AK58" i="25"/>
  <c r="AJ58" i="25"/>
  <c r="AI58" i="25"/>
  <c r="AA58" i="25"/>
  <c r="AK57" i="25"/>
  <c r="AI57" i="25"/>
  <c r="AJ57" i="25" s="1"/>
  <c r="AA57" i="25"/>
  <c r="AA56" i="25"/>
  <c r="AQ55" i="25"/>
  <c r="AK55" i="25" s="1"/>
  <c r="AG55" i="25"/>
  <c r="AA55" i="25"/>
  <c r="AK54" i="25"/>
  <c r="AG54" i="25"/>
  <c r="AA54" i="25"/>
  <c r="AK53" i="25"/>
  <c r="AK52" i="25"/>
  <c r="AA51" i="25"/>
  <c r="AK50" i="25"/>
  <c r="AA50" i="25"/>
  <c r="AK49" i="25"/>
  <c r="AA49" i="25"/>
  <c r="AI49" i="25" s="1"/>
  <c r="AK48" i="25"/>
  <c r="AA48" i="25"/>
  <c r="AI48" i="25" s="1"/>
  <c r="AK47" i="25"/>
  <c r="AA47" i="25"/>
  <c r="AK46" i="25"/>
  <c r="AA46" i="25"/>
  <c r="AK45" i="25"/>
  <c r="AA45" i="25"/>
  <c r="AI45" i="25" s="1"/>
  <c r="AK44" i="25"/>
  <c r="AA43" i="25"/>
  <c r="AK42" i="25"/>
  <c r="AA42" i="25"/>
  <c r="AI42" i="25" s="1"/>
  <c r="AK41" i="25"/>
  <c r="AA41" i="25"/>
  <c r="AI41" i="25" s="1"/>
  <c r="AK40" i="25"/>
  <c r="AA40" i="25"/>
  <c r="AK39" i="25"/>
  <c r="AK38" i="25"/>
  <c r="AK37" i="25"/>
  <c r="AA36" i="25"/>
  <c r="AK35" i="25"/>
  <c r="AK34" i="25"/>
  <c r="AA33" i="25"/>
  <c r="AK32" i="25"/>
  <c r="AA32" i="25"/>
  <c r="AK31" i="25"/>
  <c r="AI31" i="25"/>
  <c r="Q31" i="25" s="1"/>
  <c r="AA31" i="25" s="1"/>
  <c r="AK30" i="25"/>
  <c r="AK29" i="25"/>
  <c r="AK28" i="25"/>
  <c r="AI28" i="25"/>
  <c r="AG28" i="25"/>
  <c r="AK27" i="25"/>
  <c r="T27" i="25"/>
  <c r="W27" i="25"/>
  <c r="AK26" i="25"/>
  <c r="AA26" i="25"/>
  <c r="AG26" i="25" s="1"/>
  <c r="AK25" i="25"/>
  <c r="AK24" i="25"/>
  <c r="AA24" i="25"/>
  <c r="AG24" i="25" s="1"/>
  <c r="AK23" i="25"/>
  <c r="AA23" i="25"/>
  <c r="AG23" i="25" s="1"/>
  <c r="X81" i="25"/>
  <c r="X82" i="25" s="1"/>
  <c r="AA21" i="25"/>
  <c r="AQ21" i="25" s="1"/>
  <c r="AK21" i="25" s="1"/>
  <c r="AA19" i="25"/>
  <c r="AL19" i="25" s="1"/>
  <c r="AK19" i="25" s="1"/>
  <c r="O81" i="25"/>
  <c r="O82" i="25" s="1"/>
  <c r="AA17" i="25"/>
  <c r="AL17" i="25" s="1"/>
  <c r="AK17" i="25" s="1"/>
  <c r="AA13" i="25"/>
  <c r="AQ13" i="25" s="1"/>
  <c r="B81" i="25"/>
  <c r="B82" i="25" s="1"/>
  <c r="AK12" i="25"/>
  <c r="AK10" i="25"/>
  <c r="AH10" i="25" s="1"/>
  <c r="AA10" i="25"/>
  <c r="AK9" i="25"/>
  <c r="AH9" i="25" s="1"/>
  <c r="AA9" i="25"/>
  <c r="AA8" i="25"/>
  <c r="F89" i="18"/>
  <c r="Z86" i="18"/>
  <c r="Y86" i="18"/>
  <c r="X86" i="18"/>
  <c r="W86" i="18"/>
  <c r="V86" i="18"/>
  <c r="U86" i="18"/>
  <c r="T86" i="18"/>
  <c r="S86" i="18"/>
  <c r="R86" i="18"/>
  <c r="Q86" i="18"/>
  <c r="P86" i="18"/>
  <c r="O86" i="18"/>
  <c r="N86" i="18"/>
  <c r="M86" i="18"/>
  <c r="I86" i="18"/>
  <c r="H86" i="18"/>
  <c r="G86" i="18"/>
  <c r="F86" i="18"/>
  <c r="E86" i="18"/>
  <c r="D86" i="18"/>
  <c r="C86" i="18"/>
  <c r="B86" i="18"/>
  <c r="Z84" i="18"/>
  <c r="Y84" i="18"/>
  <c r="X84" i="18"/>
  <c r="W84" i="18"/>
  <c r="V84" i="18"/>
  <c r="Q84" i="18"/>
  <c r="P84" i="18"/>
  <c r="O84" i="18"/>
  <c r="N84" i="18"/>
  <c r="M84" i="18"/>
  <c r="L81" i="18"/>
  <c r="K81" i="18"/>
  <c r="J81" i="18"/>
  <c r="AA80" i="18"/>
  <c r="AT80" i="18" s="1"/>
  <c r="AK80" i="18" s="1"/>
  <c r="AA79" i="18"/>
  <c r="AT79" i="18" s="1"/>
  <c r="AK79" i="18" s="1"/>
  <c r="AT78" i="18"/>
  <c r="AK78" i="18" s="1"/>
  <c r="AA78" i="18"/>
  <c r="AT77" i="18"/>
  <c r="AK77" i="18" s="1"/>
  <c r="F77" i="18"/>
  <c r="AT76" i="18"/>
  <c r="AK76" i="18" s="1"/>
  <c r="F76" i="18"/>
  <c r="AA75" i="18"/>
  <c r="AS75" i="18" s="1"/>
  <c r="AK75" i="18" s="1"/>
  <c r="AT74" i="18"/>
  <c r="AK74" i="18" s="1"/>
  <c r="AT72" i="18"/>
  <c r="AK72" i="18" s="1"/>
  <c r="AT71" i="18"/>
  <c r="AK71" i="18" s="1"/>
  <c r="AT70" i="18"/>
  <c r="AK70" i="18" s="1"/>
  <c r="AT68" i="18"/>
  <c r="AK68" i="18" s="1"/>
  <c r="AT67" i="18"/>
  <c r="AK67" i="18" s="1"/>
  <c r="AT66" i="18"/>
  <c r="AK66" i="18" s="1"/>
  <c r="AT65" i="18"/>
  <c r="AK65" i="18" s="1"/>
  <c r="AT64" i="18"/>
  <c r="AK64" i="18" s="1"/>
  <c r="AT63" i="18"/>
  <c r="AK63" i="18" s="1"/>
  <c r="AA60" i="18"/>
  <c r="AK59" i="18"/>
  <c r="AI59" i="18"/>
  <c r="AJ59" i="18" s="1"/>
  <c r="AA59" i="18"/>
  <c r="AK58" i="18"/>
  <c r="AJ58" i="18"/>
  <c r="AI58" i="18"/>
  <c r="AA58" i="18"/>
  <c r="AK57" i="18"/>
  <c r="AI57" i="18"/>
  <c r="AJ57" i="18" s="1"/>
  <c r="AA57" i="18"/>
  <c r="AA56" i="18"/>
  <c r="AQ55" i="18"/>
  <c r="AK55" i="18" s="1"/>
  <c r="AA55" i="18"/>
  <c r="AK54" i="18"/>
  <c r="AA54" i="18"/>
  <c r="AG54" i="18" s="1"/>
  <c r="AK53" i="18"/>
  <c r="AK52" i="18"/>
  <c r="AA51" i="18"/>
  <c r="AK50" i="18"/>
  <c r="AA50" i="18"/>
  <c r="AK49" i="18"/>
  <c r="AA49" i="18"/>
  <c r="AI49" i="18" s="1"/>
  <c r="AK48" i="18"/>
  <c r="AA48" i="18"/>
  <c r="AI48" i="18" s="1"/>
  <c r="AK47" i="18"/>
  <c r="AA47" i="18"/>
  <c r="AK46" i="18"/>
  <c r="AA46" i="18"/>
  <c r="AK45" i="18"/>
  <c r="AA45" i="18"/>
  <c r="AI45" i="18" s="1"/>
  <c r="AK44" i="18"/>
  <c r="AA43" i="18"/>
  <c r="AK42" i="18"/>
  <c r="AA42" i="18"/>
  <c r="AI42" i="18" s="1"/>
  <c r="AK41" i="18"/>
  <c r="AA41" i="18"/>
  <c r="AI41" i="18" s="1"/>
  <c r="AK40" i="18"/>
  <c r="AA40" i="18"/>
  <c r="AK39" i="18"/>
  <c r="AK38" i="18"/>
  <c r="AK37" i="18"/>
  <c r="AA36" i="18"/>
  <c r="AK35" i="18"/>
  <c r="AK34" i="18"/>
  <c r="AA33" i="18"/>
  <c r="AK32" i="18"/>
  <c r="AG32" i="18"/>
  <c r="AA32" i="18"/>
  <c r="AK31" i="18"/>
  <c r="AI31" i="18"/>
  <c r="Q31" i="18" s="1"/>
  <c r="AA31" i="18" s="1"/>
  <c r="AK30" i="18"/>
  <c r="AK29" i="18"/>
  <c r="AK28" i="18"/>
  <c r="AI28" i="18"/>
  <c r="AG28" i="18"/>
  <c r="AK27" i="18"/>
  <c r="W27" i="18"/>
  <c r="AK26" i="18"/>
  <c r="AA26" i="18"/>
  <c r="AG26" i="18" s="1"/>
  <c r="AK25" i="18"/>
  <c r="AA25" i="18"/>
  <c r="AG25" i="18" s="1"/>
  <c r="AK24" i="18"/>
  <c r="AA24" i="18"/>
  <c r="AG24" i="18" s="1"/>
  <c r="M81" i="18"/>
  <c r="M82" i="18" s="1"/>
  <c r="AK23" i="18"/>
  <c r="AA23" i="18"/>
  <c r="AG23" i="18" s="1"/>
  <c r="AA21" i="18"/>
  <c r="AQ21" i="18" s="1"/>
  <c r="AK21" i="18" s="1"/>
  <c r="AA19" i="18"/>
  <c r="AL19" i="18" s="1"/>
  <c r="AK19" i="18" s="1"/>
  <c r="AA17" i="18"/>
  <c r="AL17" i="18" s="1"/>
  <c r="AK17" i="18" s="1"/>
  <c r="B81" i="18"/>
  <c r="B82" i="18" s="1"/>
  <c r="AK12" i="18"/>
  <c r="AK10" i="18"/>
  <c r="AH10" i="18" s="1"/>
  <c r="AG10" i="18" s="1"/>
  <c r="AA10" i="18"/>
  <c r="AK9" i="18"/>
  <c r="AH9" i="18" s="1"/>
  <c r="AG9" i="18" s="1"/>
  <c r="AA9" i="18"/>
  <c r="AA8" i="18"/>
  <c r="F89" i="28"/>
  <c r="Z86" i="28"/>
  <c r="Y86" i="28"/>
  <c r="X86" i="28"/>
  <c r="W86" i="28"/>
  <c r="V86" i="28"/>
  <c r="U86" i="28"/>
  <c r="T86" i="28"/>
  <c r="S86" i="28"/>
  <c r="R86" i="28"/>
  <c r="Q86" i="28"/>
  <c r="P86" i="28"/>
  <c r="O86" i="28"/>
  <c r="N86" i="28"/>
  <c r="M86" i="28"/>
  <c r="I86" i="28"/>
  <c r="H86" i="28"/>
  <c r="G86" i="28"/>
  <c r="F86" i="28"/>
  <c r="E86" i="28"/>
  <c r="D86" i="28"/>
  <c r="C86" i="28"/>
  <c r="B86" i="28"/>
  <c r="Z84" i="28"/>
  <c r="Y84" i="28"/>
  <c r="X84" i="28"/>
  <c r="W84" i="28"/>
  <c r="V84" i="28"/>
  <c r="Q84" i="28"/>
  <c r="P84" i="28"/>
  <c r="O84" i="28"/>
  <c r="N84" i="28"/>
  <c r="M84" i="28"/>
  <c r="L81" i="28"/>
  <c r="K81" i="28"/>
  <c r="J81" i="28"/>
  <c r="AA80" i="28"/>
  <c r="AT80" i="28" s="1"/>
  <c r="AK80" i="28" s="1"/>
  <c r="AA79" i="28"/>
  <c r="AT79" i="28" s="1"/>
  <c r="AK79" i="28" s="1"/>
  <c r="AT78" i="28"/>
  <c r="AK78" i="28" s="1"/>
  <c r="AA78" i="28"/>
  <c r="AT77" i="28"/>
  <c r="AK77" i="28" s="1"/>
  <c r="F77" i="28"/>
  <c r="AA75" i="28"/>
  <c r="AS75" i="28" s="1"/>
  <c r="AK75" i="28" s="1"/>
  <c r="AT74" i="28"/>
  <c r="AK74" i="28" s="1"/>
  <c r="AT72" i="28"/>
  <c r="AK72" i="28" s="1"/>
  <c r="AT71" i="28"/>
  <c r="AK71" i="28" s="1"/>
  <c r="AT70" i="28"/>
  <c r="AK70" i="28" s="1"/>
  <c r="AT68" i="28"/>
  <c r="AK68" i="28" s="1"/>
  <c r="AT66" i="28"/>
  <c r="AK66" i="28" s="1"/>
  <c r="AT65" i="28"/>
  <c r="AK65" i="28" s="1"/>
  <c r="AT64" i="28"/>
  <c r="AK64" i="28" s="1"/>
  <c r="AT63" i="28"/>
  <c r="AK63" i="28" s="1"/>
  <c r="AT62" i="28"/>
  <c r="AK62" i="28" s="1"/>
  <c r="AT61" i="28"/>
  <c r="AK61" i="28" s="1"/>
  <c r="AA60" i="28"/>
  <c r="AK59" i="28"/>
  <c r="AI59" i="28"/>
  <c r="AJ59" i="28" s="1"/>
  <c r="AA59" i="28"/>
  <c r="AK58" i="28"/>
  <c r="AI58" i="28"/>
  <c r="AJ58" i="28" s="1"/>
  <c r="AA58" i="28"/>
  <c r="AK57" i="28"/>
  <c r="AI57" i="28"/>
  <c r="AJ57" i="28" s="1"/>
  <c r="AA57" i="28"/>
  <c r="AA56" i="28"/>
  <c r="AA55" i="28"/>
  <c r="AK54" i="28"/>
  <c r="AA54" i="28"/>
  <c r="AG54" i="28" s="1"/>
  <c r="AK53" i="28"/>
  <c r="AK52" i="28"/>
  <c r="AA51" i="28"/>
  <c r="AK50" i="28"/>
  <c r="AA50" i="28"/>
  <c r="AK49" i="28"/>
  <c r="AA49" i="28"/>
  <c r="AI49" i="28" s="1"/>
  <c r="AK48" i="28"/>
  <c r="AA48" i="28"/>
  <c r="AI48" i="28" s="1"/>
  <c r="AK47" i="28"/>
  <c r="AA47" i="28"/>
  <c r="AK46" i="28"/>
  <c r="AA46" i="28"/>
  <c r="AK45" i="28"/>
  <c r="AA45" i="28"/>
  <c r="AI45" i="28" s="1"/>
  <c r="AK44" i="28"/>
  <c r="AA43" i="28"/>
  <c r="AK42" i="28"/>
  <c r="AA42" i="28"/>
  <c r="AI42" i="28" s="1"/>
  <c r="AK41" i="28"/>
  <c r="AA41" i="28"/>
  <c r="AI41" i="28" s="1"/>
  <c r="AK40" i="28"/>
  <c r="AA40" i="28"/>
  <c r="AK39" i="28"/>
  <c r="Q39" i="28"/>
  <c r="AK38" i="28"/>
  <c r="AK37" i="28"/>
  <c r="AA36" i="28"/>
  <c r="AK35" i="28"/>
  <c r="AK34" i="28"/>
  <c r="AA33" i="28"/>
  <c r="AK32" i="28"/>
  <c r="AA32" i="28"/>
  <c r="AK31" i="28"/>
  <c r="AI31" i="28"/>
  <c r="Q31" i="28" s="1"/>
  <c r="AA31" i="28" s="1"/>
  <c r="AK30" i="28"/>
  <c r="AK29" i="28"/>
  <c r="G81" i="28"/>
  <c r="G82" i="28" s="1"/>
  <c r="AK28" i="28"/>
  <c r="AI28" i="28"/>
  <c r="AG28" i="28"/>
  <c r="AK27" i="28"/>
  <c r="W27" i="28"/>
  <c r="AK26" i="28"/>
  <c r="AA26" i="28"/>
  <c r="AG26" i="28" s="1"/>
  <c r="AK25" i="28"/>
  <c r="AA25" i="28"/>
  <c r="AG25" i="28" s="1"/>
  <c r="AK24" i="28"/>
  <c r="AA24" i="28"/>
  <c r="AG24" i="28" s="1"/>
  <c r="AK23" i="28"/>
  <c r="Y81" i="28"/>
  <c r="Y82" i="28" s="1"/>
  <c r="AA18" i="28"/>
  <c r="AL18" i="28" s="1"/>
  <c r="AK18" i="28" s="1"/>
  <c r="AA17" i="28"/>
  <c r="AL17" i="28" s="1"/>
  <c r="AK17" i="28" s="1"/>
  <c r="AK12" i="28"/>
  <c r="AA10" i="28"/>
  <c r="AK9" i="28"/>
  <c r="AH9" i="28" s="1"/>
  <c r="AG9" i="28" s="1"/>
  <c r="AA9" i="28"/>
  <c r="AA8" i="28"/>
  <c r="F89" i="36"/>
  <c r="Z86" i="36"/>
  <c r="Y86" i="36"/>
  <c r="X86" i="36"/>
  <c r="W86" i="36"/>
  <c r="V86" i="36"/>
  <c r="U86" i="36"/>
  <c r="T86" i="36"/>
  <c r="S86" i="36"/>
  <c r="R86" i="36"/>
  <c r="Q86" i="36"/>
  <c r="P86" i="36"/>
  <c r="O86" i="36"/>
  <c r="N86" i="36"/>
  <c r="M86" i="36"/>
  <c r="I86" i="36"/>
  <c r="H86" i="36"/>
  <c r="G86" i="36"/>
  <c r="F86" i="36"/>
  <c r="E86" i="36"/>
  <c r="D86" i="36"/>
  <c r="C86" i="36"/>
  <c r="B86" i="36"/>
  <c r="Z84" i="36"/>
  <c r="Y84" i="36"/>
  <c r="X84" i="36"/>
  <c r="W84" i="36"/>
  <c r="V84" i="36"/>
  <c r="Q84" i="36"/>
  <c r="P84" i="36"/>
  <c r="O84" i="36"/>
  <c r="N84" i="36"/>
  <c r="M84" i="36"/>
  <c r="L81" i="36"/>
  <c r="K81" i="36"/>
  <c r="J81" i="36"/>
  <c r="AA80" i="36"/>
  <c r="AT80" i="36" s="1"/>
  <c r="AK80" i="36" s="1"/>
  <c r="AA79" i="36"/>
  <c r="AT79" i="36" s="1"/>
  <c r="AK79" i="36" s="1"/>
  <c r="AT78" i="36"/>
  <c r="AK78" i="36" s="1"/>
  <c r="AA78" i="36"/>
  <c r="AT77" i="36"/>
  <c r="AK77" i="36" s="1"/>
  <c r="F77" i="36"/>
  <c r="AT76" i="36"/>
  <c r="AK76" i="36" s="1"/>
  <c r="F76" i="36"/>
  <c r="AA75" i="36"/>
  <c r="AS75" i="36" s="1"/>
  <c r="AK75" i="36" s="1"/>
  <c r="AT74" i="36"/>
  <c r="AK74" i="36" s="1"/>
  <c r="AT72" i="36"/>
  <c r="AK72" i="36" s="1"/>
  <c r="AT71" i="36"/>
  <c r="AK71" i="36" s="1"/>
  <c r="AT70" i="36"/>
  <c r="AK70" i="36" s="1"/>
  <c r="AT68" i="36"/>
  <c r="AK68" i="36" s="1"/>
  <c r="AT67" i="36"/>
  <c r="AK67" i="36" s="1"/>
  <c r="AT66" i="36"/>
  <c r="AK66" i="36" s="1"/>
  <c r="AT65" i="36"/>
  <c r="AK65" i="36" s="1"/>
  <c r="AT64" i="36"/>
  <c r="AK64" i="36" s="1"/>
  <c r="AT63" i="36"/>
  <c r="AK63" i="36" s="1"/>
  <c r="AT61" i="36"/>
  <c r="AK61" i="36" s="1"/>
  <c r="AA60" i="36"/>
  <c r="AK59" i="36"/>
  <c r="AI59" i="36"/>
  <c r="AJ59" i="36" s="1"/>
  <c r="AA59" i="36"/>
  <c r="AK58" i="36"/>
  <c r="AI58" i="36"/>
  <c r="AJ58" i="36" s="1"/>
  <c r="AA58" i="36"/>
  <c r="AK57" i="36"/>
  <c r="AI57" i="36"/>
  <c r="AJ57" i="36" s="1"/>
  <c r="AA57" i="36"/>
  <c r="AA56" i="36"/>
  <c r="AQ55" i="36"/>
  <c r="AK55" i="36" s="1"/>
  <c r="AA55" i="36"/>
  <c r="AK54" i="36"/>
  <c r="AA54" i="36"/>
  <c r="AG54" i="36" s="1"/>
  <c r="AK53" i="36"/>
  <c r="AK52" i="36"/>
  <c r="AA51" i="36"/>
  <c r="AK50" i="36"/>
  <c r="AA50" i="36"/>
  <c r="AK49" i="36"/>
  <c r="AA49" i="36"/>
  <c r="AI49" i="36" s="1"/>
  <c r="AK48" i="36"/>
  <c r="AA48" i="36"/>
  <c r="AI48" i="36" s="1"/>
  <c r="AK47" i="36"/>
  <c r="AA47" i="36"/>
  <c r="AK46" i="36"/>
  <c r="AG46" i="36"/>
  <c r="AA46" i="36"/>
  <c r="AK45" i="36"/>
  <c r="AA45" i="36"/>
  <c r="AI45" i="36" s="1"/>
  <c r="AK44" i="36"/>
  <c r="AA43" i="36"/>
  <c r="AK42" i="36"/>
  <c r="AA42" i="36"/>
  <c r="AI42" i="36" s="1"/>
  <c r="AK41" i="36"/>
  <c r="AA41" i="36"/>
  <c r="AI41" i="36" s="1"/>
  <c r="AK40" i="36"/>
  <c r="AA40" i="36"/>
  <c r="AK39" i="36"/>
  <c r="AK38" i="36"/>
  <c r="AK37" i="36"/>
  <c r="AA36" i="36"/>
  <c r="AK35" i="36"/>
  <c r="AK34" i="36"/>
  <c r="AA33" i="36"/>
  <c r="AK32" i="36"/>
  <c r="AI32" i="36"/>
  <c r="AA32" i="36"/>
  <c r="AK31" i="36"/>
  <c r="AI31" i="36"/>
  <c r="Q31" i="36" s="1"/>
  <c r="AA31" i="36" s="1"/>
  <c r="AK30" i="36"/>
  <c r="AK29" i="36"/>
  <c r="AK28" i="36"/>
  <c r="AI28" i="36"/>
  <c r="AG28" i="36"/>
  <c r="AK27" i="36"/>
  <c r="W27" i="36"/>
  <c r="T27" i="36"/>
  <c r="AK26" i="36"/>
  <c r="AK25" i="36"/>
  <c r="AK24" i="36"/>
  <c r="AK23" i="36"/>
  <c r="AA21" i="36"/>
  <c r="AQ21" i="36" s="1"/>
  <c r="AK21" i="36" s="1"/>
  <c r="AA20" i="36"/>
  <c r="AQ20" i="36" s="1"/>
  <c r="AK20" i="36" s="1"/>
  <c r="AA19" i="36"/>
  <c r="AL19" i="36" s="1"/>
  <c r="AK19" i="36" s="1"/>
  <c r="AA18" i="36"/>
  <c r="AL18" i="36" s="1"/>
  <c r="AK18" i="36" s="1"/>
  <c r="AA17" i="36"/>
  <c r="AL17" i="36" s="1"/>
  <c r="AK17" i="36" s="1"/>
  <c r="AA13" i="36"/>
  <c r="AK12" i="36"/>
  <c r="AK10" i="36"/>
  <c r="AH10" i="36" s="1"/>
  <c r="AA10" i="36"/>
  <c r="AK9" i="36"/>
  <c r="AH9" i="36" s="1"/>
  <c r="AG9" i="36" s="1"/>
  <c r="AA9" i="36"/>
  <c r="AA8" i="36"/>
  <c r="F89" i="38"/>
  <c r="Z86" i="38"/>
  <c r="Y86" i="38"/>
  <c r="X86" i="38"/>
  <c r="W86" i="38"/>
  <c r="V86" i="38"/>
  <c r="U86" i="38"/>
  <c r="T86" i="38"/>
  <c r="S86" i="38"/>
  <c r="R86" i="38"/>
  <c r="Q86" i="38"/>
  <c r="P86" i="38"/>
  <c r="O86" i="38"/>
  <c r="N86" i="38"/>
  <c r="M86" i="38"/>
  <c r="I86" i="38"/>
  <c r="H86" i="38"/>
  <c r="G86" i="38"/>
  <c r="F86" i="38"/>
  <c r="E86" i="38"/>
  <c r="D86" i="38"/>
  <c r="C86" i="38"/>
  <c r="B86" i="38"/>
  <c r="Z84" i="38"/>
  <c r="Y84" i="38"/>
  <c r="X84" i="38"/>
  <c r="W84" i="38"/>
  <c r="V84" i="38"/>
  <c r="Q84" i="38"/>
  <c r="P84" i="38"/>
  <c r="O84" i="38"/>
  <c r="N84" i="38"/>
  <c r="M84" i="38"/>
  <c r="L81" i="38"/>
  <c r="K81" i="38"/>
  <c r="J81" i="38"/>
  <c r="AA80" i="38"/>
  <c r="AT80" i="38" s="1"/>
  <c r="AK80" i="38" s="1"/>
  <c r="AA79" i="38"/>
  <c r="AT79" i="38" s="1"/>
  <c r="AK79" i="38" s="1"/>
  <c r="AT78" i="38"/>
  <c r="AK78" i="38" s="1"/>
  <c r="AA78" i="38"/>
  <c r="AT77" i="38"/>
  <c r="AK77" i="38" s="1"/>
  <c r="F77" i="38"/>
  <c r="AA75" i="38"/>
  <c r="AS75" i="38" s="1"/>
  <c r="AK75" i="38" s="1"/>
  <c r="AT74" i="38"/>
  <c r="AK74" i="38" s="1"/>
  <c r="AT72" i="38"/>
  <c r="AK72" i="38" s="1"/>
  <c r="AT71" i="38"/>
  <c r="AK71" i="38" s="1"/>
  <c r="AT70" i="38"/>
  <c r="AK70" i="38" s="1"/>
  <c r="AT68" i="38"/>
  <c r="AK68" i="38" s="1"/>
  <c r="AT66" i="38"/>
  <c r="AK66" i="38" s="1"/>
  <c r="AT65" i="38"/>
  <c r="AK65" i="38" s="1"/>
  <c r="AT64" i="38"/>
  <c r="AK64" i="38" s="1"/>
  <c r="AT63" i="38"/>
  <c r="AK63" i="38" s="1"/>
  <c r="AT62" i="38"/>
  <c r="AK62" i="38" s="1"/>
  <c r="AT61" i="38"/>
  <c r="AK61" i="38" s="1"/>
  <c r="AA60" i="38"/>
  <c r="AK59" i="38"/>
  <c r="AI59" i="38"/>
  <c r="AJ59" i="38" s="1"/>
  <c r="AA59" i="38"/>
  <c r="AK58" i="38"/>
  <c r="AI58" i="38"/>
  <c r="AJ58" i="38" s="1"/>
  <c r="AA58" i="38"/>
  <c r="AK57" i="38"/>
  <c r="AI57" i="38"/>
  <c r="AJ57" i="38" s="1"/>
  <c r="AA57" i="38"/>
  <c r="AA56" i="38"/>
  <c r="AA55" i="38"/>
  <c r="AK54" i="38"/>
  <c r="AA54" i="38"/>
  <c r="AG54" i="38" s="1"/>
  <c r="AK53" i="38"/>
  <c r="AK52" i="38"/>
  <c r="AA51" i="38"/>
  <c r="AK50" i="38"/>
  <c r="AA50" i="38"/>
  <c r="AK49" i="38"/>
  <c r="AA49" i="38"/>
  <c r="AI49" i="38" s="1"/>
  <c r="AK48" i="38"/>
  <c r="AA48" i="38"/>
  <c r="AI48" i="38" s="1"/>
  <c r="AK47" i="38"/>
  <c r="AA47" i="38"/>
  <c r="AK46" i="38"/>
  <c r="AA46" i="38"/>
  <c r="AK45" i="38"/>
  <c r="AA45" i="38"/>
  <c r="AI45" i="38" s="1"/>
  <c r="AK44" i="38"/>
  <c r="AA43" i="38"/>
  <c r="AK42" i="38"/>
  <c r="AA42" i="38"/>
  <c r="AI42" i="38" s="1"/>
  <c r="AK41" i="38"/>
  <c r="AA41" i="38"/>
  <c r="AI41" i="38" s="1"/>
  <c r="AK40" i="38"/>
  <c r="AG40" i="38"/>
  <c r="AA40" i="38"/>
  <c r="AK39" i="38"/>
  <c r="AK38" i="38"/>
  <c r="AK37" i="38"/>
  <c r="AA36" i="38"/>
  <c r="AK35" i="38"/>
  <c r="AK34" i="38"/>
  <c r="AA33" i="38"/>
  <c r="AK32" i="38"/>
  <c r="AA32" i="38"/>
  <c r="AK31" i="38"/>
  <c r="AI31" i="38"/>
  <c r="Q31" i="38" s="1"/>
  <c r="AA31" i="38" s="1"/>
  <c r="AK30" i="38"/>
  <c r="AK29" i="38"/>
  <c r="AK28" i="38"/>
  <c r="AI28" i="38"/>
  <c r="AG28" i="38"/>
  <c r="AK27" i="38"/>
  <c r="W27" i="38"/>
  <c r="T27" i="38"/>
  <c r="S27" i="38"/>
  <c r="AK26" i="38"/>
  <c r="AK25" i="38"/>
  <c r="AA25" i="38"/>
  <c r="AG25" i="38" s="1"/>
  <c r="AK24" i="38"/>
  <c r="AK23" i="38"/>
  <c r="AA23" i="38"/>
  <c r="AG23" i="38" s="1"/>
  <c r="AA21" i="38"/>
  <c r="AQ21" i="38" s="1"/>
  <c r="AK21" i="38" s="1"/>
  <c r="AA18" i="38"/>
  <c r="AL18" i="38" s="1"/>
  <c r="AK18" i="38" s="1"/>
  <c r="AA17" i="38"/>
  <c r="AL17" i="38" s="1"/>
  <c r="AK17" i="38" s="1"/>
  <c r="AA16" i="38"/>
  <c r="AL16" i="38" s="1"/>
  <c r="AK16" i="38" s="1"/>
  <c r="AA15" i="38"/>
  <c r="AL15" i="38" s="1"/>
  <c r="AK15" i="38" s="1"/>
  <c r="AA14" i="38"/>
  <c r="AL14" i="38" s="1"/>
  <c r="AK14" i="38" s="1"/>
  <c r="AA13" i="38"/>
  <c r="AK12" i="38"/>
  <c r="AA10" i="38"/>
  <c r="AK9" i="38"/>
  <c r="AH9" i="38" s="1"/>
  <c r="AG9" i="38" s="1"/>
  <c r="AA9" i="38"/>
  <c r="AA8" i="38"/>
  <c r="F89" i="40"/>
  <c r="Z86" i="40"/>
  <c r="Y86" i="40"/>
  <c r="X86" i="40"/>
  <c r="W86" i="40"/>
  <c r="V86" i="40"/>
  <c r="U86" i="40"/>
  <c r="T86" i="40"/>
  <c r="S86" i="40"/>
  <c r="R86" i="40"/>
  <c r="Q86" i="40"/>
  <c r="P86" i="40"/>
  <c r="O86" i="40"/>
  <c r="N86" i="40"/>
  <c r="M86" i="40"/>
  <c r="I86" i="40"/>
  <c r="H86" i="40"/>
  <c r="G86" i="40"/>
  <c r="F86" i="40"/>
  <c r="E86" i="40"/>
  <c r="D86" i="40"/>
  <c r="C86" i="40"/>
  <c r="B86" i="40"/>
  <c r="Z84" i="40"/>
  <c r="Y84" i="40"/>
  <c r="X84" i="40"/>
  <c r="W84" i="40"/>
  <c r="V84" i="40"/>
  <c r="Q84" i="40"/>
  <c r="P84" i="40"/>
  <c r="O84" i="40"/>
  <c r="N84" i="40"/>
  <c r="M84" i="40"/>
  <c r="L81" i="40"/>
  <c r="K81" i="40"/>
  <c r="J81" i="40"/>
  <c r="AA80" i="40"/>
  <c r="AT80" i="40" s="1"/>
  <c r="AK80" i="40" s="1"/>
  <c r="AA79" i="40"/>
  <c r="AT79" i="40" s="1"/>
  <c r="AK79" i="40" s="1"/>
  <c r="AT78" i="40"/>
  <c r="AK78" i="40" s="1"/>
  <c r="AA78" i="40"/>
  <c r="AT77" i="40"/>
  <c r="AK77" i="40" s="1"/>
  <c r="F77" i="40"/>
  <c r="AT76" i="40"/>
  <c r="AK76" i="40" s="1"/>
  <c r="AA75" i="40"/>
  <c r="AS75" i="40" s="1"/>
  <c r="AK75" i="40" s="1"/>
  <c r="AT74" i="40"/>
  <c r="AK74" i="40" s="1"/>
  <c r="AT72" i="40"/>
  <c r="AK72" i="40" s="1"/>
  <c r="AT71" i="40"/>
  <c r="AK71" i="40" s="1"/>
  <c r="AT70" i="40"/>
  <c r="AK70" i="40" s="1"/>
  <c r="AT68" i="40"/>
  <c r="AK68" i="40" s="1"/>
  <c r="AT67" i="40"/>
  <c r="AK67" i="40" s="1"/>
  <c r="AT66" i="40"/>
  <c r="AK66" i="40" s="1"/>
  <c r="AT65" i="40"/>
  <c r="AK65" i="40" s="1"/>
  <c r="AT64" i="40"/>
  <c r="AK64" i="40" s="1"/>
  <c r="AT63" i="40"/>
  <c r="AK63" i="40" s="1"/>
  <c r="AT61" i="40"/>
  <c r="AK61" i="40" s="1"/>
  <c r="AA60" i="40"/>
  <c r="AK59" i="40"/>
  <c r="AI59" i="40"/>
  <c r="AJ59" i="40" s="1"/>
  <c r="AA59" i="40"/>
  <c r="AK58" i="40"/>
  <c r="AJ58" i="40"/>
  <c r="AI58" i="40"/>
  <c r="AA58" i="40"/>
  <c r="AK57" i="40"/>
  <c r="AI57" i="40"/>
  <c r="AJ57" i="40" s="1"/>
  <c r="AA57" i="40"/>
  <c r="AQ56" i="40"/>
  <c r="AK56" i="40" s="1"/>
  <c r="AA56" i="40"/>
  <c r="AQ55" i="40"/>
  <c r="AK55" i="40" s="1"/>
  <c r="AG55" i="40"/>
  <c r="AA55" i="40"/>
  <c r="AK54" i="40"/>
  <c r="AG54" i="40"/>
  <c r="AA54" i="40"/>
  <c r="AK53" i="40"/>
  <c r="AK52" i="40"/>
  <c r="AA51" i="40"/>
  <c r="AK50" i="40"/>
  <c r="AA50" i="40"/>
  <c r="AK49" i="40"/>
  <c r="AA49" i="40"/>
  <c r="AI49" i="40" s="1"/>
  <c r="AK48" i="40"/>
  <c r="AA48" i="40"/>
  <c r="AI48" i="40" s="1"/>
  <c r="AK47" i="40"/>
  <c r="AA47" i="40"/>
  <c r="AK46" i="40"/>
  <c r="AA46" i="40"/>
  <c r="AK45" i="40"/>
  <c r="AA45" i="40"/>
  <c r="AI45" i="40" s="1"/>
  <c r="AK44" i="40"/>
  <c r="C81" i="40"/>
  <c r="C82" i="40" s="1"/>
  <c r="AA43" i="40"/>
  <c r="AK42" i="40"/>
  <c r="AA42" i="40"/>
  <c r="AK41" i="40"/>
  <c r="AA41" i="40"/>
  <c r="AI41" i="40" s="1"/>
  <c r="AK40" i="40"/>
  <c r="AA40" i="40"/>
  <c r="AK39" i="40"/>
  <c r="AK38" i="40"/>
  <c r="AK37" i="40"/>
  <c r="AA36" i="40"/>
  <c r="AK35" i="40"/>
  <c r="AK34" i="40"/>
  <c r="AA33" i="40"/>
  <c r="AK32" i="40"/>
  <c r="AG32" i="40"/>
  <c r="AA32" i="40"/>
  <c r="AK31" i="40"/>
  <c r="AI31" i="40"/>
  <c r="Q31" i="40" s="1"/>
  <c r="AA31" i="40" s="1"/>
  <c r="AK30" i="40"/>
  <c r="AK29" i="40"/>
  <c r="AK28" i="40"/>
  <c r="AI28" i="40"/>
  <c r="AG28" i="40"/>
  <c r="AK27" i="40"/>
  <c r="S27" i="40"/>
  <c r="R27" i="40"/>
  <c r="W27" i="40"/>
  <c r="AK26" i="40"/>
  <c r="AA26" i="40"/>
  <c r="AG26" i="40" s="1"/>
  <c r="N81" i="40"/>
  <c r="N82" i="40" s="1"/>
  <c r="AK25" i="40"/>
  <c r="AK24" i="40"/>
  <c r="AA24" i="40"/>
  <c r="AG24" i="40" s="1"/>
  <c r="AK23" i="40"/>
  <c r="AA20" i="40"/>
  <c r="AQ20" i="40" s="1"/>
  <c r="AK20" i="40" s="1"/>
  <c r="AA19" i="40"/>
  <c r="AL19" i="40" s="1"/>
  <c r="AK19" i="40" s="1"/>
  <c r="AA18" i="40"/>
  <c r="AL18" i="40" s="1"/>
  <c r="AK18" i="40" s="1"/>
  <c r="AA17" i="40"/>
  <c r="AL17" i="40" s="1"/>
  <c r="AK17" i="40" s="1"/>
  <c r="AK12" i="40"/>
  <c r="AK11" i="40"/>
  <c r="AK10" i="40"/>
  <c r="AH10" i="40" s="1"/>
  <c r="AA10" i="40"/>
  <c r="AK9" i="40"/>
  <c r="AH9" i="40" s="1"/>
  <c r="AA9" i="40"/>
  <c r="AA8" i="40"/>
  <c r="AT76" i="42"/>
  <c r="AT71" i="42"/>
  <c r="J81" i="42"/>
  <c r="K81" i="42"/>
  <c r="L81" i="42"/>
  <c r="AG49" i="25" l="1"/>
  <c r="AG49" i="40"/>
  <c r="AG42" i="40"/>
  <c r="AI42" i="40"/>
  <c r="Q39" i="25"/>
  <c r="AA39" i="25" s="1"/>
  <c r="Q39" i="36"/>
  <c r="AA39" i="36" s="1"/>
  <c r="Q39" i="40"/>
  <c r="AA39" i="40" s="1"/>
  <c r="Q39" i="18"/>
  <c r="AA39" i="18" s="1"/>
  <c r="R81" i="40"/>
  <c r="R84" i="40" s="1"/>
  <c r="Q39" i="27"/>
  <c r="AA39" i="27" s="1"/>
  <c r="Q39" i="38"/>
  <c r="AA39" i="38" s="1"/>
  <c r="AI49" i="27"/>
  <c r="W81" i="38"/>
  <c r="W82" i="38" s="1"/>
  <c r="P81" i="38"/>
  <c r="P82" i="38" s="1"/>
  <c r="X81" i="38"/>
  <c r="X82" i="38" s="1"/>
  <c r="AG40" i="27"/>
  <c r="G81" i="27"/>
  <c r="G82" i="27" s="1"/>
  <c r="P81" i="27"/>
  <c r="P82" i="27" s="1"/>
  <c r="D81" i="27"/>
  <c r="D82" i="27" s="1"/>
  <c r="G81" i="18"/>
  <c r="G82" i="18" s="1"/>
  <c r="D81" i="18"/>
  <c r="D82" i="18" s="1"/>
  <c r="P81" i="36"/>
  <c r="P82" i="36" s="1"/>
  <c r="X81" i="36"/>
  <c r="X82" i="36" s="1"/>
  <c r="P81" i="40"/>
  <c r="P82" i="40" s="1"/>
  <c r="X81" i="40"/>
  <c r="X82" i="40" s="1"/>
  <c r="G81" i="38"/>
  <c r="G82" i="38" s="1"/>
  <c r="V81" i="40"/>
  <c r="V82" i="40" s="1"/>
  <c r="AA38" i="27"/>
  <c r="AI38" i="27" s="1"/>
  <c r="C81" i="25"/>
  <c r="C82" i="25" s="1"/>
  <c r="N81" i="25"/>
  <c r="N82" i="25" s="1"/>
  <c r="V81" i="25"/>
  <c r="V82" i="25" s="1"/>
  <c r="AA30" i="25"/>
  <c r="AI30" i="25" s="1"/>
  <c r="I81" i="25"/>
  <c r="AA44" i="25"/>
  <c r="AK8" i="18"/>
  <c r="AH8" i="18" s="1"/>
  <c r="AA29" i="18"/>
  <c r="AI29" i="18" s="1"/>
  <c r="N81" i="18"/>
  <c r="N82" i="18" s="1"/>
  <c r="V81" i="18"/>
  <c r="V82" i="18" s="1"/>
  <c r="AA30" i="18"/>
  <c r="AI30" i="18" s="1"/>
  <c r="AA34" i="18"/>
  <c r="AG34" i="18" s="1"/>
  <c r="AA35" i="18"/>
  <c r="AI35" i="18" s="1"/>
  <c r="AA37" i="18"/>
  <c r="AG37" i="18" s="1"/>
  <c r="AA38" i="18"/>
  <c r="AI38" i="18" s="1"/>
  <c r="V81" i="28"/>
  <c r="V82" i="28" s="1"/>
  <c r="AA35" i="36"/>
  <c r="AG35" i="36" s="1"/>
  <c r="AA53" i="36"/>
  <c r="AG53" i="36" s="1"/>
  <c r="AA30" i="38"/>
  <c r="AI30" i="38" s="1"/>
  <c r="AA38" i="38"/>
  <c r="AI38" i="38" s="1"/>
  <c r="G81" i="40"/>
  <c r="G82" i="40" s="1"/>
  <c r="Z81" i="40"/>
  <c r="Z82" i="40" s="1"/>
  <c r="AS81" i="28"/>
  <c r="C81" i="27"/>
  <c r="C82" i="27" s="1"/>
  <c r="AA35" i="27"/>
  <c r="AI35" i="27" s="1"/>
  <c r="D81" i="28"/>
  <c r="D82" i="28" s="1"/>
  <c r="B81" i="27"/>
  <c r="B82" i="27" s="1"/>
  <c r="U81" i="25"/>
  <c r="U82" i="25" s="1"/>
  <c r="W81" i="27"/>
  <c r="W82" i="27" s="1"/>
  <c r="Y81" i="27"/>
  <c r="Y82" i="27" s="1"/>
  <c r="P81" i="25"/>
  <c r="P82" i="25" s="1"/>
  <c r="Z81" i="18"/>
  <c r="Z82" i="18" s="1"/>
  <c r="Y81" i="18"/>
  <c r="Y82" i="18" s="1"/>
  <c r="Y81" i="38"/>
  <c r="Y82" i="38" s="1"/>
  <c r="I81" i="40"/>
  <c r="Y81" i="40"/>
  <c r="Y82" i="40" s="1"/>
  <c r="Z81" i="28"/>
  <c r="Z82" i="28" s="1"/>
  <c r="Z81" i="38"/>
  <c r="Z82" i="38" s="1"/>
  <c r="X81" i="27"/>
  <c r="X82" i="27" s="1"/>
  <c r="Z81" i="25"/>
  <c r="Z82" i="25" s="1"/>
  <c r="P81" i="28"/>
  <c r="P82" i="28" s="1"/>
  <c r="X81" i="28"/>
  <c r="X82" i="28" s="1"/>
  <c r="H81" i="38"/>
  <c r="H82" i="38" s="1"/>
  <c r="AG42" i="18"/>
  <c r="AT61" i="18"/>
  <c r="AK61" i="18" s="1"/>
  <c r="AG9" i="40"/>
  <c r="AG32" i="38"/>
  <c r="AG32" i="36"/>
  <c r="AA29" i="25"/>
  <c r="AI29" i="25" s="1"/>
  <c r="T81" i="27"/>
  <c r="T82" i="27" s="1"/>
  <c r="AA29" i="27"/>
  <c r="AI29" i="27" s="1"/>
  <c r="AG32" i="27"/>
  <c r="G81" i="25"/>
  <c r="G82" i="25" s="1"/>
  <c r="AA52" i="25"/>
  <c r="AI52" i="25" s="1"/>
  <c r="E81" i="28"/>
  <c r="E82" i="28" s="1"/>
  <c r="AA22" i="28"/>
  <c r="AQ22" i="28" s="1"/>
  <c r="AK22" i="28" s="1"/>
  <c r="AA29" i="28"/>
  <c r="AI29" i="28" s="1"/>
  <c r="N81" i="28"/>
  <c r="N82" i="28" s="1"/>
  <c r="AA30" i="28"/>
  <c r="AI30" i="28" s="1"/>
  <c r="AA35" i="28"/>
  <c r="AI35" i="28" s="1"/>
  <c r="AA44" i="28"/>
  <c r="AA52" i="28"/>
  <c r="AI52" i="28" s="1"/>
  <c r="AA53" i="28"/>
  <c r="AG53" i="28" s="1"/>
  <c r="C81" i="38"/>
  <c r="C82" i="38" s="1"/>
  <c r="N81" i="38"/>
  <c r="N82" i="38" s="1"/>
  <c r="V81" i="38"/>
  <c r="V82" i="38" s="1"/>
  <c r="I81" i="38"/>
  <c r="AA35" i="38"/>
  <c r="AI35" i="38" s="1"/>
  <c r="AA37" i="38"/>
  <c r="AI37" i="38" s="1"/>
  <c r="AA44" i="38"/>
  <c r="O81" i="38"/>
  <c r="O82" i="38" s="1"/>
  <c r="AA52" i="38"/>
  <c r="AI52" i="38" s="1"/>
  <c r="AA53" i="38"/>
  <c r="AG53" i="38" s="1"/>
  <c r="AA37" i="27"/>
  <c r="AG37" i="27" s="1"/>
  <c r="AG55" i="38"/>
  <c r="F76" i="38"/>
  <c r="AG10" i="36"/>
  <c r="W81" i="36"/>
  <c r="W82" i="36" s="1"/>
  <c r="AG55" i="28"/>
  <c r="F76" i="28"/>
  <c r="AG28" i="27"/>
  <c r="E81" i="27"/>
  <c r="E82" i="27" s="1"/>
  <c r="Z81" i="27"/>
  <c r="Z82" i="27" s="1"/>
  <c r="N81" i="27"/>
  <c r="N82" i="27" s="1"/>
  <c r="V81" i="27"/>
  <c r="V82" i="27" s="1"/>
  <c r="AA30" i="27"/>
  <c r="AI30" i="27" s="1"/>
  <c r="AA34" i="27"/>
  <c r="AG34" i="27" s="1"/>
  <c r="B81" i="28"/>
  <c r="B82" i="28" s="1"/>
  <c r="I81" i="28"/>
  <c r="AA34" i="28"/>
  <c r="AI34" i="28" s="1"/>
  <c r="M81" i="28"/>
  <c r="M82" i="28" s="1"/>
  <c r="AA37" i="28"/>
  <c r="AI37" i="28" s="1"/>
  <c r="AA38" i="28"/>
  <c r="AG38" i="28" s="1"/>
  <c r="AG10" i="40"/>
  <c r="T81" i="25"/>
  <c r="T84" i="25" s="1"/>
  <c r="AG31" i="25"/>
  <c r="AA22" i="25"/>
  <c r="AQ22" i="25" s="1"/>
  <c r="AK22" i="25" s="1"/>
  <c r="M81" i="25"/>
  <c r="M82" i="25" s="1"/>
  <c r="Y81" i="25"/>
  <c r="Y82" i="25" s="1"/>
  <c r="AA34" i="25"/>
  <c r="AI34" i="25" s="1"/>
  <c r="AA35" i="25"/>
  <c r="AI35" i="25" s="1"/>
  <c r="AA37" i="25"/>
  <c r="AG37" i="25" s="1"/>
  <c r="AA38" i="25"/>
  <c r="AI38" i="25" s="1"/>
  <c r="AG31" i="40"/>
  <c r="M81" i="36"/>
  <c r="M82" i="36" s="1"/>
  <c r="H81" i="27"/>
  <c r="H82" i="27" s="1"/>
  <c r="AG40" i="36"/>
  <c r="AG59" i="36"/>
  <c r="M81" i="27"/>
  <c r="M82" i="27" s="1"/>
  <c r="E81" i="36"/>
  <c r="E82" i="36" s="1"/>
  <c r="Z81" i="36"/>
  <c r="Z82" i="36" s="1"/>
  <c r="AA30" i="36"/>
  <c r="AI30" i="36" s="1"/>
  <c r="AA44" i="36"/>
  <c r="AA52" i="36"/>
  <c r="AG52" i="36" s="1"/>
  <c r="AA52" i="27"/>
  <c r="AG52" i="27" s="1"/>
  <c r="AA53" i="27"/>
  <c r="AG53" i="27" s="1"/>
  <c r="AA53" i="25"/>
  <c r="AG53" i="25" s="1"/>
  <c r="AA52" i="18"/>
  <c r="AI52" i="18" s="1"/>
  <c r="AA53" i="18"/>
  <c r="AI53" i="18" s="1"/>
  <c r="I81" i="36"/>
  <c r="D81" i="36"/>
  <c r="D82" i="36" s="1"/>
  <c r="AA34" i="36"/>
  <c r="AG34" i="36" s="1"/>
  <c r="AA37" i="36"/>
  <c r="AI37" i="36" s="1"/>
  <c r="AA38" i="36"/>
  <c r="AI38" i="36" s="1"/>
  <c r="AA22" i="40"/>
  <c r="AQ22" i="40" s="1"/>
  <c r="AK22" i="40" s="1"/>
  <c r="AA29" i="40"/>
  <c r="AG29" i="40" s="1"/>
  <c r="AA30" i="40"/>
  <c r="AI30" i="40" s="1"/>
  <c r="AA34" i="40"/>
  <c r="AI34" i="40" s="1"/>
  <c r="M81" i="40"/>
  <c r="M82" i="40" s="1"/>
  <c r="AA35" i="40"/>
  <c r="AG35" i="40" s="1"/>
  <c r="AA37" i="40"/>
  <c r="AI37" i="40" s="1"/>
  <c r="AA38" i="40"/>
  <c r="AG38" i="40" s="1"/>
  <c r="AA44" i="40"/>
  <c r="AA52" i="40"/>
  <c r="AI52" i="40" s="1"/>
  <c r="AA53" i="40"/>
  <c r="AI53" i="40" s="1"/>
  <c r="AA39" i="28"/>
  <c r="AQ13" i="40"/>
  <c r="AT13" i="40"/>
  <c r="E81" i="40"/>
  <c r="E82" i="40" s="1"/>
  <c r="D81" i="40"/>
  <c r="D82" i="40" s="1"/>
  <c r="B81" i="40"/>
  <c r="B82" i="40" s="1"/>
  <c r="AS81" i="38"/>
  <c r="AA34" i="38"/>
  <c r="AG34" i="38" s="1"/>
  <c r="D81" i="38"/>
  <c r="D82" i="38" s="1"/>
  <c r="E81" i="38"/>
  <c r="E82" i="38" s="1"/>
  <c r="AH11" i="36"/>
  <c r="AG11" i="36" s="1"/>
  <c r="AA29" i="36"/>
  <c r="AI29" i="36" s="1"/>
  <c r="C81" i="28"/>
  <c r="C82" i="28" s="1"/>
  <c r="AA20" i="28"/>
  <c r="AQ20" i="28" s="1"/>
  <c r="AK20" i="28" s="1"/>
  <c r="AA21" i="28"/>
  <c r="AQ21" i="28" s="1"/>
  <c r="AK21" i="28" s="1"/>
  <c r="C81" i="18"/>
  <c r="C82" i="18" s="1"/>
  <c r="AA44" i="18"/>
  <c r="E81" i="18"/>
  <c r="E82" i="18" s="1"/>
  <c r="I81" i="18"/>
  <c r="AT13" i="25"/>
  <c r="AG9" i="25"/>
  <c r="E81" i="25"/>
  <c r="E82" i="25" s="1"/>
  <c r="AA25" i="25"/>
  <c r="AG25" i="25" s="1"/>
  <c r="AG32" i="25"/>
  <c r="AG10" i="25"/>
  <c r="AG46" i="27"/>
  <c r="AA44" i="27"/>
  <c r="AI44" i="27" s="1"/>
  <c r="I81" i="27"/>
  <c r="AG57" i="27"/>
  <c r="AS81" i="27"/>
  <c r="AG42" i="27"/>
  <c r="Q11" i="27"/>
  <c r="AG11" i="27"/>
  <c r="AA22" i="27"/>
  <c r="AQ22" i="27" s="1"/>
  <c r="AK22" i="27" s="1"/>
  <c r="AA24" i="27"/>
  <c r="AG24" i="27" s="1"/>
  <c r="AA26" i="27"/>
  <c r="AG26" i="27" s="1"/>
  <c r="AI28" i="27"/>
  <c r="AG55" i="27"/>
  <c r="AA14" i="27"/>
  <c r="AL14" i="27" s="1"/>
  <c r="AK14" i="27" s="1"/>
  <c r="AA16" i="27"/>
  <c r="AL16" i="27" s="1"/>
  <c r="AK16" i="27" s="1"/>
  <c r="AA18" i="27"/>
  <c r="AL18" i="27" s="1"/>
  <c r="AK18" i="27" s="1"/>
  <c r="AG31" i="27"/>
  <c r="AG39" i="27"/>
  <c r="U81" i="27"/>
  <c r="AG59" i="27"/>
  <c r="AT62" i="27"/>
  <c r="AK62" i="27" s="1"/>
  <c r="AA83" i="27"/>
  <c r="AA13" i="27"/>
  <c r="R27" i="27"/>
  <c r="R81" i="27" s="1"/>
  <c r="AG45" i="27"/>
  <c r="F76" i="27"/>
  <c r="O81" i="27"/>
  <c r="O82" i="27" s="1"/>
  <c r="AK8" i="27"/>
  <c r="AG78" i="27"/>
  <c r="AA15" i="27"/>
  <c r="AL15" i="27" s="1"/>
  <c r="AK15" i="27" s="1"/>
  <c r="AG58" i="27"/>
  <c r="AS81" i="25"/>
  <c r="AH11" i="25"/>
  <c r="AG11" i="25" s="1"/>
  <c r="AG42" i="25"/>
  <c r="AG57" i="25"/>
  <c r="AA14" i="25"/>
  <c r="AL14" i="25" s="1"/>
  <c r="AK14" i="25" s="1"/>
  <c r="AA16" i="25"/>
  <c r="AL16" i="25" s="1"/>
  <c r="AK16" i="25" s="1"/>
  <c r="AA18" i="25"/>
  <c r="AL18" i="25" s="1"/>
  <c r="AK18" i="25" s="1"/>
  <c r="R81" i="25"/>
  <c r="AG39" i="25"/>
  <c r="AG46" i="25"/>
  <c r="D81" i="25"/>
  <c r="D82" i="25" s="1"/>
  <c r="AG59" i="25"/>
  <c r="H81" i="25"/>
  <c r="H82" i="25" s="1"/>
  <c r="AT62" i="25"/>
  <c r="AK62" i="25" s="1"/>
  <c r="AA83" i="25"/>
  <c r="AI32" i="25"/>
  <c r="AG45" i="25"/>
  <c r="AK8" i="25"/>
  <c r="S27" i="25"/>
  <c r="AA27" i="25" s="1"/>
  <c r="W81" i="25"/>
  <c r="W82" i="25" s="1"/>
  <c r="AG47" i="25"/>
  <c r="AG78" i="25"/>
  <c r="AL13" i="25"/>
  <c r="AG58" i="25"/>
  <c r="AG40" i="25"/>
  <c r="AS81" i="18"/>
  <c r="W81" i="18"/>
  <c r="W82" i="18" s="1"/>
  <c r="Q11" i="18"/>
  <c r="AG11" i="18"/>
  <c r="AA22" i="18"/>
  <c r="AQ22" i="18" s="1"/>
  <c r="AK22" i="18" s="1"/>
  <c r="AG55" i="18"/>
  <c r="AA14" i="18"/>
  <c r="AL14" i="18" s="1"/>
  <c r="AK14" i="18" s="1"/>
  <c r="AA16" i="18"/>
  <c r="AL16" i="18" s="1"/>
  <c r="AK16" i="18" s="1"/>
  <c r="AA18" i="18"/>
  <c r="AL18" i="18" s="1"/>
  <c r="AK18" i="18" s="1"/>
  <c r="AG31" i="18"/>
  <c r="AG39" i="18"/>
  <c r="H81" i="18"/>
  <c r="H82" i="18" s="1"/>
  <c r="U81" i="18"/>
  <c r="U82" i="18" s="1"/>
  <c r="AG59" i="18"/>
  <c r="AT62" i="18"/>
  <c r="AK62" i="18" s="1"/>
  <c r="AA83" i="18"/>
  <c r="AA13" i="18"/>
  <c r="R27" i="18"/>
  <c r="R81" i="18" s="1"/>
  <c r="AG45" i="18"/>
  <c r="AG49" i="18"/>
  <c r="O81" i="18"/>
  <c r="O82" i="18" s="1"/>
  <c r="S27" i="18"/>
  <c r="AG47" i="18"/>
  <c r="AG78" i="18"/>
  <c r="AI32" i="18"/>
  <c r="AG46" i="18"/>
  <c r="AG57" i="18"/>
  <c r="AA15" i="18"/>
  <c r="AL15" i="18" s="1"/>
  <c r="AK15" i="18" s="1"/>
  <c r="T27" i="18"/>
  <c r="T81" i="18" s="1"/>
  <c r="AG58" i="18"/>
  <c r="AG40" i="18"/>
  <c r="AH11" i="28"/>
  <c r="AG11" i="28" s="1"/>
  <c r="AI32" i="28"/>
  <c r="AG42" i="28"/>
  <c r="AG46" i="28"/>
  <c r="AG57" i="28"/>
  <c r="AT67" i="28"/>
  <c r="AK67" i="28" s="1"/>
  <c r="AA14" i="28"/>
  <c r="AL14" i="28" s="1"/>
  <c r="AK14" i="28" s="1"/>
  <c r="AA16" i="28"/>
  <c r="AL16" i="28" s="1"/>
  <c r="AK16" i="28" s="1"/>
  <c r="AG31" i="28"/>
  <c r="AG39" i="28"/>
  <c r="H81" i="28"/>
  <c r="H82" i="28" s="1"/>
  <c r="U81" i="28"/>
  <c r="U82" i="28" s="1"/>
  <c r="AG59" i="28"/>
  <c r="AA83" i="28"/>
  <c r="AA13" i="28"/>
  <c r="R27" i="28"/>
  <c r="AG45" i="28"/>
  <c r="AG49" i="28"/>
  <c r="O81" i="28"/>
  <c r="O82" i="28" s="1"/>
  <c r="AK8" i="28"/>
  <c r="S27" i="28"/>
  <c r="S81" i="28" s="1"/>
  <c r="W81" i="28"/>
  <c r="W82" i="28" s="1"/>
  <c r="AG47" i="28"/>
  <c r="AG78" i="28"/>
  <c r="AA15" i="28"/>
  <c r="AL15" i="28" s="1"/>
  <c r="AK15" i="28" s="1"/>
  <c r="T27" i="28"/>
  <c r="AG58" i="28"/>
  <c r="AG40" i="28"/>
  <c r="AL13" i="36"/>
  <c r="AT13" i="36"/>
  <c r="AT81" i="36" s="1"/>
  <c r="AQ13" i="36"/>
  <c r="AS81" i="36"/>
  <c r="AG42" i="36"/>
  <c r="B81" i="36"/>
  <c r="B82" i="36" s="1"/>
  <c r="AA22" i="36"/>
  <c r="AQ22" i="36" s="1"/>
  <c r="AK22" i="36" s="1"/>
  <c r="AA24" i="36"/>
  <c r="AG24" i="36" s="1"/>
  <c r="AA26" i="36"/>
  <c r="AG26" i="36" s="1"/>
  <c r="AG55" i="36"/>
  <c r="T81" i="36"/>
  <c r="T82" i="36" s="1"/>
  <c r="AA14" i="36"/>
  <c r="AL14" i="36" s="1"/>
  <c r="AK14" i="36" s="1"/>
  <c r="AA16" i="36"/>
  <c r="AL16" i="36" s="1"/>
  <c r="AK16" i="36" s="1"/>
  <c r="AG31" i="36"/>
  <c r="AG39" i="36"/>
  <c r="H81" i="36"/>
  <c r="H82" i="36" s="1"/>
  <c r="U81" i="36"/>
  <c r="U82" i="36" s="1"/>
  <c r="AA83" i="36"/>
  <c r="R27" i="36"/>
  <c r="R81" i="36" s="1"/>
  <c r="R82" i="36" s="1"/>
  <c r="AG45" i="36"/>
  <c r="AG49" i="36"/>
  <c r="O81" i="36"/>
  <c r="O82" i="36" s="1"/>
  <c r="AK8" i="36"/>
  <c r="S27" i="36"/>
  <c r="AG47" i="36"/>
  <c r="AG78" i="36"/>
  <c r="AA15" i="36"/>
  <c r="AL15" i="36" s="1"/>
  <c r="AK15" i="36" s="1"/>
  <c r="AG58" i="36"/>
  <c r="AL13" i="38"/>
  <c r="AT13" i="38"/>
  <c r="AQ13" i="38"/>
  <c r="AG42" i="38"/>
  <c r="U84" i="38"/>
  <c r="AH11" i="38"/>
  <c r="AG11" i="38" s="1"/>
  <c r="B81" i="38"/>
  <c r="B82" i="38" s="1"/>
  <c r="AA22" i="38"/>
  <c r="AQ22" i="38" s="1"/>
  <c r="AK22" i="38" s="1"/>
  <c r="AA24" i="38"/>
  <c r="AG24" i="38" s="1"/>
  <c r="AA26" i="38"/>
  <c r="AG26" i="38" s="1"/>
  <c r="AA29" i="38"/>
  <c r="AG46" i="38"/>
  <c r="AG57" i="38"/>
  <c r="AT67" i="38"/>
  <c r="AK67" i="38" s="1"/>
  <c r="AG31" i="38"/>
  <c r="AG39" i="38"/>
  <c r="S81" i="38"/>
  <c r="AG59" i="38"/>
  <c r="AA83" i="38"/>
  <c r="R27" i="38"/>
  <c r="AA27" i="38" s="1"/>
  <c r="T81" i="38"/>
  <c r="AG45" i="38"/>
  <c r="AG49" i="38"/>
  <c r="AK8" i="38"/>
  <c r="AG47" i="38"/>
  <c r="AG78" i="38"/>
  <c r="AG58" i="38"/>
  <c r="AH11" i="40"/>
  <c r="AG11" i="40" s="1"/>
  <c r="W81" i="40"/>
  <c r="W82" i="40" s="1"/>
  <c r="AS81" i="40"/>
  <c r="AI32" i="40"/>
  <c r="AG46" i="40"/>
  <c r="AG57" i="40"/>
  <c r="AA14" i="40"/>
  <c r="AL14" i="40" s="1"/>
  <c r="AK14" i="40" s="1"/>
  <c r="AA16" i="40"/>
  <c r="AL16" i="40" s="1"/>
  <c r="AK16" i="40" s="1"/>
  <c r="AG39" i="40"/>
  <c r="H81" i="40"/>
  <c r="H82" i="40" s="1"/>
  <c r="U81" i="40"/>
  <c r="U82" i="40" s="1"/>
  <c r="AG59" i="40"/>
  <c r="AT62" i="40"/>
  <c r="AK62" i="40" s="1"/>
  <c r="AA83" i="40"/>
  <c r="F76" i="40"/>
  <c r="O81" i="40"/>
  <c r="O82" i="40" s="1"/>
  <c r="AG45" i="40"/>
  <c r="AK8" i="40"/>
  <c r="AG47" i="40"/>
  <c r="AG78" i="40"/>
  <c r="AL13" i="40"/>
  <c r="AA15" i="40"/>
  <c r="AL15" i="40" s="1"/>
  <c r="AK15" i="40" s="1"/>
  <c r="T27" i="40"/>
  <c r="AA27" i="40" s="1"/>
  <c r="AG58" i="40"/>
  <c r="AG40" i="40"/>
  <c r="AG29" i="36" l="1"/>
  <c r="AG53" i="18"/>
  <c r="AI35" i="36"/>
  <c r="AK13" i="25"/>
  <c r="AI53" i="27"/>
  <c r="AG53" i="40"/>
  <c r="AI53" i="25"/>
  <c r="AI60" i="25" s="1"/>
  <c r="AJ60" i="25" s="1"/>
  <c r="AI53" i="28"/>
  <c r="AI60" i="28" s="1"/>
  <c r="AJ60" i="28" s="1"/>
  <c r="R82" i="40"/>
  <c r="AG34" i="28"/>
  <c r="AG38" i="38"/>
  <c r="AI43" i="38"/>
  <c r="AJ43" i="38" s="1"/>
  <c r="AI53" i="36"/>
  <c r="AG38" i="18"/>
  <c r="AI38" i="40"/>
  <c r="AI43" i="40" s="1"/>
  <c r="AJ43" i="40" s="1"/>
  <c r="AI37" i="25"/>
  <c r="AI43" i="25" s="1"/>
  <c r="AJ43" i="25" s="1"/>
  <c r="AI34" i="38"/>
  <c r="AI36" i="38" s="1"/>
  <c r="AJ36" i="38" s="1"/>
  <c r="AI43" i="36"/>
  <c r="AJ43" i="36" s="1"/>
  <c r="AG44" i="18"/>
  <c r="AI44" i="18"/>
  <c r="AI51" i="18" s="1"/>
  <c r="AJ51" i="18" s="1"/>
  <c r="I82" i="18"/>
  <c r="F735" i="35"/>
  <c r="AI44" i="36"/>
  <c r="AI51" i="36" s="1"/>
  <c r="AJ51" i="36" s="1"/>
  <c r="I82" i="28"/>
  <c r="G735" i="35"/>
  <c r="AI44" i="40"/>
  <c r="AI51" i="40" s="1"/>
  <c r="AJ51" i="40" s="1"/>
  <c r="AI44" i="38"/>
  <c r="AI51" i="38" s="1"/>
  <c r="AJ51" i="38" s="1"/>
  <c r="I82" i="36"/>
  <c r="H735" i="35"/>
  <c r="AI44" i="28"/>
  <c r="AI51" i="28" s="1"/>
  <c r="AJ51" i="28" s="1"/>
  <c r="I82" i="40"/>
  <c r="J735" i="35"/>
  <c r="AG44" i="25"/>
  <c r="AI44" i="25"/>
  <c r="AI51" i="25" s="1"/>
  <c r="AJ51" i="25" s="1"/>
  <c r="I82" i="25"/>
  <c r="E735" i="35"/>
  <c r="AG34" i="40"/>
  <c r="AG44" i="36"/>
  <c r="I82" i="38"/>
  <c r="I735" i="35"/>
  <c r="AI33" i="27"/>
  <c r="AJ33" i="27" s="1"/>
  <c r="AO33" i="27" s="1"/>
  <c r="I82" i="27"/>
  <c r="C870" i="35"/>
  <c r="C735" i="35"/>
  <c r="C722" i="35"/>
  <c r="AG29" i="27"/>
  <c r="AI34" i="18"/>
  <c r="AI36" i="18" s="1"/>
  <c r="AJ36" i="18" s="1"/>
  <c r="AI52" i="36"/>
  <c r="AI38" i="28"/>
  <c r="AI43" i="28" s="1"/>
  <c r="AJ43" i="28" s="1"/>
  <c r="AG37" i="40"/>
  <c r="AG44" i="38"/>
  <c r="AI60" i="18"/>
  <c r="AJ60" i="18" s="1"/>
  <c r="AG44" i="27"/>
  <c r="AI51" i="27"/>
  <c r="AJ51" i="27" s="1"/>
  <c r="AM51" i="27" s="1"/>
  <c r="AI37" i="27"/>
  <c r="AI52" i="27"/>
  <c r="U84" i="25"/>
  <c r="AI37" i="18"/>
  <c r="AG35" i="38"/>
  <c r="AG44" i="40"/>
  <c r="AG38" i="36"/>
  <c r="AG35" i="18"/>
  <c r="AG38" i="25"/>
  <c r="AG29" i="25"/>
  <c r="AG35" i="27"/>
  <c r="AG38" i="27"/>
  <c r="AI36" i="25"/>
  <c r="AJ36" i="25" s="1"/>
  <c r="AG29" i="18"/>
  <c r="AI53" i="38"/>
  <c r="AI60" i="38" s="1"/>
  <c r="AJ60" i="38" s="1"/>
  <c r="T81" i="28"/>
  <c r="T82" i="28" s="1"/>
  <c r="AG37" i="36"/>
  <c r="AA27" i="27"/>
  <c r="AI29" i="40"/>
  <c r="AI33" i="40" s="1"/>
  <c r="AJ33" i="40" s="1"/>
  <c r="AG29" i="28"/>
  <c r="Q11" i="36"/>
  <c r="AG37" i="38"/>
  <c r="AI34" i="36"/>
  <c r="AG44" i="28"/>
  <c r="AG34" i="25"/>
  <c r="AI34" i="27"/>
  <c r="AI36" i="27" s="1"/>
  <c r="AJ36" i="27" s="1"/>
  <c r="AO36" i="27" s="1"/>
  <c r="S81" i="36"/>
  <c r="S82" i="36" s="1"/>
  <c r="AG52" i="18"/>
  <c r="AG52" i="25"/>
  <c r="AG52" i="28"/>
  <c r="AG37" i="28"/>
  <c r="AI60" i="40"/>
  <c r="AJ60" i="40" s="1"/>
  <c r="AG52" i="40"/>
  <c r="T82" i="25"/>
  <c r="AG35" i="25"/>
  <c r="AI35" i="40"/>
  <c r="AI36" i="40" s="1"/>
  <c r="AJ36" i="40" s="1"/>
  <c r="AG52" i="38"/>
  <c r="AK13" i="40"/>
  <c r="AG35" i="28"/>
  <c r="F81" i="40"/>
  <c r="F82" i="40" s="1"/>
  <c r="Q11" i="40"/>
  <c r="Q81" i="40" s="1"/>
  <c r="U84" i="40"/>
  <c r="T81" i="40"/>
  <c r="F81" i="38"/>
  <c r="F82" i="38" s="1"/>
  <c r="AT81" i="38"/>
  <c r="F81" i="36"/>
  <c r="F82" i="36" s="1"/>
  <c r="U84" i="36"/>
  <c r="F81" i="28"/>
  <c r="F82" i="28" s="1"/>
  <c r="AA27" i="28"/>
  <c r="F81" i="18"/>
  <c r="F82" i="18" s="1"/>
  <c r="F81" i="25"/>
  <c r="F82" i="25" s="1"/>
  <c r="S81" i="25"/>
  <c r="S82" i="25" s="1"/>
  <c r="S81" i="27"/>
  <c r="S82" i="27" s="1"/>
  <c r="R82" i="27"/>
  <c r="R84" i="27"/>
  <c r="AQ13" i="27"/>
  <c r="AL13" i="27"/>
  <c r="AT13" i="27"/>
  <c r="AT81" i="27" s="1"/>
  <c r="Q81" i="27"/>
  <c r="AA11" i="27"/>
  <c r="F81" i="27"/>
  <c r="F82" i="27" s="1"/>
  <c r="T84" i="27"/>
  <c r="U82" i="27"/>
  <c r="U84" i="27"/>
  <c r="R82" i="25"/>
  <c r="R84" i="25"/>
  <c r="Q11" i="25"/>
  <c r="AT81" i="25"/>
  <c r="AH8" i="25"/>
  <c r="AI33" i="25"/>
  <c r="AJ33" i="25" s="1"/>
  <c r="T82" i="18"/>
  <c r="T84" i="18"/>
  <c r="AG8" i="18"/>
  <c r="AH81" i="18"/>
  <c r="R82" i="18"/>
  <c r="AA27" i="18"/>
  <c r="S81" i="18"/>
  <c r="AA84" i="18" s="1"/>
  <c r="R84" i="18"/>
  <c r="U84" i="18"/>
  <c r="AQ13" i="18"/>
  <c r="AL13" i="18"/>
  <c r="AT13" i="18"/>
  <c r="AT81" i="18" s="1"/>
  <c r="Q81" i="18"/>
  <c r="AA11" i="18"/>
  <c r="AI33" i="18"/>
  <c r="S82" i="28"/>
  <c r="S84" i="28"/>
  <c r="AH8" i="28"/>
  <c r="AQ13" i="28"/>
  <c r="AL13" i="28"/>
  <c r="AT13" i="28"/>
  <c r="AT81" i="28" s="1"/>
  <c r="AI33" i="28"/>
  <c r="AJ33" i="28" s="1"/>
  <c r="R81" i="28"/>
  <c r="U84" i="28"/>
  <c r="AI36" i="28"/>
  <c r="AJ36" i="28" s="1"/>
  <c r="Q11" i="28"/>
  <c r="R84" i="36"/>
  <c r="AH8" i="36"/>
  <c r="T84" i="36"/>
  <c r="AK13" i="36"/>
  <c r="AA27" i="36"/>
  <c r="AI33" i="36"/>
  <c r="AJ33" i="36" s="1"/>
  <c r="T82" i="38"/>
  <c r="T84" i="38"/>
  <c r="S82" i="38"/>
  <c r="S84" i="38"/>
  <c r="AK13" i="38"/>
  <c r="AH8" i="38"/>
  <c r="R81" i="38"/>
  <c r="AG29" i="38"/>
  <c r="AI29" i="38"/>
  <c r="Q11" i="38"/>
  <c r="AT81" i="40"/>
  <c r="AH8" i="40"/>
  <c r="S81" i="40"/>
  <c r="AA11" i="40" l="1"/>
  <c r="AA84" i="36"/>
  <c r="AI60" i="27"/>
  <c r="AJ60" i="27" s="1"/>
  <c r="AR60" i="27" s="1"/>
  <c r="AI36" i="36"/>
  <c r="AJ36" i="36" s="1"/>
  <c r="AO36" i="36" s="1"/>
  <c r="AL33" i="27"/>
  <c r="AI60" i="36"/>
  <c r="AJ60" i="36" s="1"/>
  <c r="AL60" i="36" s="1"/>
  <c r="AR36" i="27"/>
  <c r="AQ33" i="27"/>
  <c r="T84" i="28"/>
  <c r="AM51" i="36"/>
  <c r="AR51" i="36"/>
  <c r="AN51" i="36"/>
  <c r="AR51" i="40"/>
  <c r="AO51" i="40"/>
  <c r="AM51" i="40"/>
  <c r="AN51" i="40"/>
  <c r="AL51" i="40"/>
  <c r="AQ51" i="40"/>
  <c r="AP51" i="40"/>
  <c r="AR51" i="38"/>
  <c r="AP51" i="38"/>
  <c r="AO51" i="38"/>
  <c r="AQ51" i="38"/>
  <c r="AN51" i="38"/>
  <c r="AM51" i="38"/>
  <c r="AL51" i="38"/>
  <c r="AM51" i="28"/>
  <c r="AL51" i="28"/>
  <c r="AR51" i="28"/>
  <c r="AP51" i="28"/>
  <c r="AQ51" i="28"/>
  <c r="AO51" i="28"/>
  <c r="AN51" i="28"/>
  <c r="AM33" i="40"/>
  <c r="AL33" i="40"/>
  <c r="AN33" i="40"/>
  <c r="AR33" i="40"/>
  <c r="AQ33" i="40"/>
  <c r="AP33" i="40"/>
  <c r="AO33" i="40"/>
  <c r="AR33" i="27"/>
  <c r="AN36" i="40"/>
  <c r="AM36" i="40"/>
  <c r="AL36" i="40"/>
  <c r="AO36" i="40"/>
  <c r="AR36" i="40"/>
  <c r="AQ36" i="40"/>
  <c r="AP36" i="40"/>
  <c r="AO60" i="40"/>
  <c r="AN60" i="40"/>
  <c r="AM60" i="40"/>
  <c r="AL60" i="40"/>
  <c r="AR60" i="40"/>
  <c r="AP60" i="40"/>
  <c r="AQ60" i="40"/>
  <c r="AI43" i="27"/>
  <c r="AJ43" i="27" s="1"/>
  <c r="AO51" i="36"/>
  <c r="AL51" i="36"/>
  <c r="AN36" i="18"/>
  <c r="AM36" i="18"/>
  <c r="AL36" i="18"/>
  <c r="AR36" i="18"/>
  <c r="AP36" i="18"/>
  <c r="AO36" i="18"/>
  <c r="AQ36" i="18"/>
  <c r="AN60" i="28"/>
  <c r="AM60" i="28"/>
  <c r="AL60" i="28"/>
  <c r="AR60" i="28"/>
  <c r="AO60" i="28"/>
  <c r="AQ60" i="28"/>
  <c r="AP60" i="28"/>
  <c r="AP51" i="36"/>
  <c r="AM36" i="28"/>
  <c r="AL36" i="28"/>
  <c r="AR36" i="28"/>
  <c r="AQ36" i="28"/>
  <c r="AP36" i="28"/>
  <c r="AN36" i="28"/>
  <c r="AO36" i="28"/>
  <c r="AM33" i="27"/>
  <c r="AQ36" i="38"/>
  <c r="AP36" i="38"/>
  <c r="AO36" i="38"/>
  <c r="AN36" i="38"/>
  <c r="AM36" i="38"/>
  <c r="AL36" i="38"/>
  <c r="AR36" i="38"/>
  <c r="AP36" i="25"/>
  <c r="AN36" i="25"/>
  <c r="AQ36" i="25"/>
  <c r="AO36" i="25"/>
  <c r="AM36" i="25"/>
  <c r="AR36" i="25"/>
  <c r="AL36" i="25"/>
  <c r="AQ51" i="36"/>
  <c r="AQ60" i="25"/>
  <c r="AO60" i="25"/>
  <c r="AP60" i="25"/>
  <c r="AN60" i="25"/>
  <c r="AR60" i="25"/>
  <c r="AM60" i="25"/>
  <c r="AL60" i="25"/>
  <c r="AI43" i="18"/>
  <c r="AJ43" i="18" s="1"/>
  <c r="AN33" i="27"/>
  <c r="AL33" i="36"/>
  <c r="AN33" i="36"/>
  <c r="AQ33" i="36"/>
  <c r="AR33" i="36"/>
  <c r="AP33" i="36"/>
  <c r="AO33" i="36"/>
  <c r="AM33" i="36"/>
  <c r="AL33" i="28"/>
  <c r="AR33" i="28"/>
  <c r="AQ33" i="28"/>
  <c r="AM33" i="28"/>
  <c r="AP33" i="28"/>
  <c r="AO33" i="28"/>
  <c r="AN33" i="28"/>
  <c r="AO60" i="18"/>
  <c r="AM60" i="18"/>
  <c r="AN60" i="18"/>
  <c r="AL60" i="18"/>
  <c r="AR60" i="18"/>
  <c r="AQ60" i="18"/>
  <c r="AP60" i="18"/>
  <c r="AO33" i="25"/>
  <c r="AN33" i="25"/>
  <c r="AM33" i="25"/>
  <c r="AL33" i="25"/>
  <c r="AQ33" i="25"/>
  <c r="AR33" i="25"/>
  <c r="AP33" i="25"/>
  <c r="C866" i="35"/>
  <c r="C868" i="35"/>
  <c r="AQ43" i="25"/>
  <c r="AL43" i="25"/>
  <c r="AR43" i="25"/>
  <c r="AP43" i="25"/>
  <c r="AO43" i="25"/>
  <c r="AN43" i="25"/>
  <c r="AM43" i="25"/>
  <c r="AQ43" i="28"/>
  <c r="AP43" i="28"/>
  <c r="AL43" i="28"/>
  <c r="AR43" i="28"/>
  <c r="AO43" i="28"/>
  <c r="AN43" i="28"/>
  <c r="AM43" i="28"/>
  <c r="AR43" i="36"/>
  <c r="AP43" i="36"/>
  <c r="AQ43" i="36"/>
  <c r="AO43" i="36"/>
  <c r="AN43" i="36"/>
  <c r="AM43" i="36"/>
  <c r="AL43" i="36"/>
  <c r="AQ43" i="38"/>
  <c r="AP43" i="38"/>
  <c r="AO43" i="38"/>
  <c r="AR43" i="38"/>
  <c r="AN43" i="38"/>
  <c r="AM43" i="38"/>
  <c r="AL43" i="38"/>
  <c r="AO60" i="38"/>
  <c r="AN60" i="38"/>
  <c r="AM60" i="38"/>
  <c r="AL60" i="38"/>
  <c r="AP60" i="38"/>
  <c r="AR60" i="38"/>
  <c r="AQ60" i="38"/>
  <c r="AN43" i="40"/>
  <c r="AM43" i="40"/>
  <c r="AL43" i="40"/>
  <c r="AQ43" i="40"/>
  <c r="AO43" i="40"/>
  <c r="AP43" i="40"/>
  <c r="AR43" i="40"/>
  <c r="AR51" i="27"/>
  <c r="AL51" i="27"/>
  <c r="AM51" i="25"/>
  <c r="AL51" i="25"/>
  <c r="AR51" i="25"/>
  <c r="AQ51" i="25"/>
  <c r="AP51" i="25"/>
  <c r="AO51" i="25"/>
  <c r="AN51" i="25"/>
  <c r="AO51" i="18"/>
  <c r="AM51" i="18"/>
  <c r="AN51" i="18"/>
  <c r="AP51" i="18"/>
  <c r="AL51" i="18"/>
  <c r="AQ51" i="18"/>
  <c r="AR51" i="18"/>
  <c r="AN51" i="27"/>
  <c r="AA84" i="27"/>
  <c r="AO51" i="27"/>
  <c r="AQ51" i="27"/>
  <c r="AA84" i="25"/>
  <c r="S84" i="36"/>
  <c r="AQ36" i="27"/>
  <c r="AL36" i="27"/>
  <c r="AM36" i="27"/>
  <c r="AN36" i="27"/>
  <c r="AA11" i="36"/>
  <c r="Q81" i="36"/>
  <c r="AG12" i="18"/>
  <c r="A12" i="18" s="1"/>
  <c r="AM60" i="27"/>
  <c r="T82" i="40"/>
  <c r="T84" i="40"/>
  <c r="S84" i="25"/>
  <c r="S84" i="27"/>
  <c r="AK13" i="27"/>
  <c r="AI81" i="25"/>
  <c r="AG8" i="25"/>
  <c r="AH81" i="25"/>
  <c r="AJ81" i="25"/>
  <c r="Q81" i="25"/>
  <c r="AA11" i="25"/>
  <c r="AJ33" i="18"/>
  <c r="AK13" i="18"/>
  <c r="S82" i="18"/>
  <c r="S84" i="18"/>
  <c r="R82" i="28"/>
  <c r="AA84" i="28"/>
  <c r="R84" i="28"/>
  <c r="AI81" i="28"/>
  <c r="AJ81" i="28"/>
  <c r="AK13" i="28"/>
  <c r="AG8" i="28"/>
  <c r="AH81" i="28"/>
  <c r="Q81" i="28"/>
  <c r="AA11" i="28"/>
  <c r="AG8" i="36"/>
  <c r="AH81" i="36"/>
  <c r="AI33" i="38"/>
  <c r="AJ33" i="38" s="1"/>
  <c r="Q81" i="38"/>
  <c r="AA11" i="38"/>
  <c r="R82" i="38"/>
  <c r="R84" i="38"/>
  <c r="AA84" i="38"/>
  <c r="AG8" i="38"/>
  <c r="AG12" i="38" s="1"/>
  <c r="AH81" i="38"/>
  <c r="AI81" i="40"/>
  <c r="AG8" i="40"/>
  <c r="AH81" i="40"/>
  <c r="AJ81" i="40"/>
  <c r="S82" i="40"/>
  <c r="AA84" i="40"/>
  <c r="S84" i="40"/>
  <c r="AN60" i="27" l="1"/>
  <c r="AQ60" i="27"/>
  <c r="AN36" i="36"/>
  <c r="AP36" i="36"/>
  <c r="AL60" i="27"/>
  <c r="AQ36" i="36"/>
  <c r="AR36" i="36"/>
  <c r="AO60" i="27"/>
  <c r="AL36" i="36"/>
  <c r="AL81" i="36" s="1"/>
  <c r="AM36" i="36"/>
  <c r="AI81" i="36"/>
  <c r="AK33" i="27"/>
  <c r="AI81" i="27"/>
  <c r="AM60" i="36"/>
  <c r="AN60" i="36"/>
  <c r="AN81" i="36" s="1"/>
  <c r="AO60" i="36"/>
  <c r="AO81" i="36" s="1"/>
  <c r="AJ81" i="36"/>
  <c r="AP60" i="36"/>
  <c r="AQ60" i="36"/>
  <c r="AR60" i="36"/>
  <c r="AK51" i="28"/>
  <c r="AK36" i="25"/>
  <c r="AK51" i="36"/>
  <c r="AK51" i="40"/>
  <c r="AP81" i="40"/>
  <c r="AP81" i="28"/>
  <c r="AP81" i="25"/>
  <c r="AK36" i="38"/>
  <c r="AK60" i="28"/>
  <c r="AK60" i="18"/>
  <c r="AK51" i="38"/>
  <c r="AI81" i="18"/>
  <c r="AO43" i="27"/>
  <c r="AM43" i="27"/>
  <c r="AM81" i="27" s="1"/>
  <c r="AQ43" i="27"/>
  <c r="AQ81" i="27" s="1"/>
  <c r="AL43" i="18"/>
  <c r="AQ43" i="18"/>
  <c r="AR43" i="18"/>
  <c r="AP43" i="18"/>
  <c r="AO43" i="18"/>
  <c r="AN43" i="18"/>
  <c r="AM43" i="18"/>
  <c r="AR43" i="27"/>
  <c r="AR81" i="27" s="1"/>
  <c r="AM33" i="18"/>
  <c r="AN33" i="18"/>
  <c r="AL33" i="18"/>
  <c r="AR33" i="18"/>
  <c r="AO33" i="18"/>
  <c r="AQ33" i="18"/>
  <c r="AP33" i="18"/>
  <c r="AJ81" i="27"/>
  <c r="AN33" i="38"/>
  <c r="AN81" i="38" s="1"/>
  <c r="AM33" i="38"/>
  <c r="AM81" i="38" s="1"/>
  <c r="AO33" i="38"/>
  <c r="AO81" i="38" s="1"/>
  <c r="AL33" i="38"/>
  <c r="AR33" i="38"/>
  <c r="AR81" i="38" s="1"/>
  <c r="AP33" i="38"/>
  <c r="AP81" i="38" s="1"/>
  <c r="AQ33" i="38"/>
  <c r="AQ81" i="38" s="1"/>
  <c r="AL43" i="27"/>
  <c r="AN43" i="27"/>
  <c r="AN81" i="27" s="1"/>
  <c r="AG81" i="18"/>
  <c r="AK36" i="27"/>
  <c r="AK51" i="27"/>
  <c r="AK51" i="25"/>
  <c r="AK60" i="40"/>
  <c r="AK51" i="18"/>
  <c r="AK60" i="38"/>
  <c r="AK60" i="25"/>
  <c r="AC83" i="18"/>
  <c r="AC83" i="38"/>
  <c r="AN81" i="28"/>
  <c r="AK43" i="28"/>
  <c r="AN81" i="25"/>
  <c r="AO81" i="25"/>
  <c r="AR81" i="25"/>
  <c r="AN81" i="40"/>
  <c r="AM81" i="40"/>
  <c r="AQ81" i="40"/>
  <c r="AR81" i="40"/>
  <c r="AK43" i="38"/>
  <c r="AI81" i="38"/>
  <c r="AR81" i="28"/>
  <c r="AQ81" i="28"/>
  <c r="AQ81" i="25"/>
  <c r="AK43" i="25"/>
  <c r="AM81" i="25"/>
  <c r="AG12" i="25"/>
  <c r="AC83" i="25" s="1"/>
  <c r="AK33" i="25"/>
  <c r="AL81" i="25"/>
  <c r="AJ81" i="18"/>
  <c r="AK36" i="18"/>
  <c r="A81" i="18"/>
  <c r="A82" i="18" s="1"/>
  <c r="AA82" i="18" s="1"/>
  <c r="AC82" i="18" s="1"/>
  <c r="AA12" i="18"/>
  <c r="AA81" i="18" s="1"/>
  <c r="AC84" i="18" s="1"/>
  <c r="AK36" i="28"/>
  <c r="AK33" i="28"/>
  <c r="AG12" i="28"/>
  <c r="AC83" i="28" s="1"/>
  <c r="AL81" i="28"/>
  <c r="AM81" i="28"/>
  <c r="AO81" i="28"/>
  <c r="AG12" i="36"/>
  <c r="AK43" i="36"/>
  <c r="AK33" i="36"/>
  <c r="A12" i="38"/>
  <c r="AG81" i="38"/>
  <c r="AJ81" i="38"/>
  <c r="AG12" i="40"/>
  <c r="AC83" i="40" s="1"/>
  <c r="AK36" i="40"/>
  <c r="AO81" i="40"/>
  <c r="AK43" i="40"/>
  <c r="AK33" i="40"/>
  <c r="AL81" i="40"/>
  <c r="AL81" i="27" l="1"/>
  <c r="AP81" i="36"/>
  <c r="AK60" i="27"/>
  <c r="AR81" i="36"/>
  <c r="AQ81" i="36"/>
  <c r="AK36" i="36"/>
  <c r="AO81" i="27"/>
  <c r="AM81" i="36"/>
  <c r="AO81" i="18"/>
  <c r="AK60" i="36"/>
  <c r="AN81" i="18"/>
  <c r="AR81" i="18"/>
  <c r="AM81" i="18"/>
  <c r="AP81" i="18"/>
  <c r="AK43" i="18"/>
  <c r="AQ81" i="18"/>
  <c r="AK43" i="27"/>
  <c r="AG81" i="36"/>
  <c r="AC83" i="36"/>
  <c r="AK81" i="28"/>
  <c r="AK81" i="40"/>
  <c r="AK81" i="25"/>
  <c r="A12" i="25"/>
  <c r="AG81" i="25"/>
  <c r="AK33" i="18"/>
  <c r="AL81" i="18"/>
  <c r="A12" i="28"/>
  <c r="AG81" i="28"/>
  <c r="A12" i="36"/>
  <c r="A81" i="38"/>
  <c r="A82" i="38" s="1"/>
  <c r="AA82" i="38" s="1"/>
  <c r="AC82" i="38" s="1"/>
  <c r="AA12" i="38"/>
  <c r="AA81" i="38" s="1"/>
  <c r="AC84" i="38" s="1"/>
  <c r="AK33" i="38"/>
  <c r="AK81" i="38" s="1"/>
  <c r="AL81" i="38"/>
  <c r="A12" i="40"/>
  <c r="AG81" i="40"/>
  <c r="AK81" i="36" l="1"/>
  <c r="AK81" i="27"/>
  <c r="AK81" i="18"/>
  <c r="A81" i="25"/>
  <c r="A82" i="25" s="1"/>
  <c r="AA82" i="25" s="1"/>
  <c r="AC82" i="25" s="1"/>
  <c r="AA12" i="25"/>
  <c r="AA81" i="25" s="1"/>
  <c r="AC84" i="25" s="1"/>
  <c r="A81" i="28"/>
  <c r="A82" i="28" s="1"/>
  <c r="AA82" i="28" s="1"/>
  <c r="AC82" i="28" s="1"/>
  <c r="AA12" i="28"/>
  <c r="AA81" i="28" s="1"/>
  <c r="AC84" i="28" s="1"/>
  <c r="A81" i="36"/>
  <c r="A82" i="36" s="1"/>
  <c r="AA82" i="36" s="1"/>
  <c r="AC82" i="36" s="1"/>
  <c r="AA12" i="36"/>
  <c r="AA81" i="36" s="1"/>
  <c r="AC84" i="36" s="1"/>
  <c r="A81" i="40"/>
  <c r="A82" i="40" s="1"/>
  <c r="AA82" i="40" s="1"/>
  <c r="AC82" i="40" s="1"/>
  <c r="AA12" i="40"/>
  <c r="AA81" i="40" s="1"/>
  <c r="AC84" i="40" s="1"/>
  <c r="AG31" i="42" l="1"/>
  <c r="AI31" i="42" l="1"/>
  <c r="K597" i="35" l="1"/>
  <c r="K595" i="35"/>
  <c r="L598" i="35"/>
  <c r="L597" i="35"/>
  <c r="L596" i="35"/>
  <c r="L595" i="35"/>
  <c r="K598" i="35"/>
  <c r="K596" i="35"/>
  <c r="J598" i="35"/>
  <c r="J597" i="35"/>
  <c r="J596" i="35"/>
  <c r="J595" i="35"/>
  <c r="I598" i="35"/>
  <c r="I597" i="35"/>
  <c r="I596" i="35"/>
  <c r="I595" i="35"/>
  <c r="H598" i="35"/>
  <c r="H597" i="35"/>
  <c r="H596" i="35"/>
  <c r="H595" i="35"/>
  <c r="G598" i="35"/>
  <c r="G597" i="35"/>
  <c r="G596" i="35"/>
  <c r="G595" i="35"/>
  <c r="F598" i="35"/>
  <c r="F597" i="35"/>
  <c r="F596" i="35"/>
  <c r="F595" i="35"/>
  <c r="E598" i="35"/>
  <c r="E597" i="35"/>
  <c r="E596" i="35"/>
  <c r="E595" i="35"/>
  <c r="C598" i="35"/>
  <c r="C597" i="35"/>
  <c r="C596" i="35"/>
  <c r="C595" i="35"/>
  <c r="L869" i="35" l="1"/>
  <c r="L868" i="35"/>
  <c r="L867" i="35"/>
  <c r="L866" i="35"/>
  <c r="J869" i="35"/>
  <c r="J868" i="35"/>
  <c r="J867" i="35"/>
  <c r="J866" i="35"/>
  <c r="I869" i="35"/>
  <c r="I868" i="35"/>
  <c r="I867" i="35"/>
  <c r="I866" i="35"/>
  <c r="H869" i="35"/>
  <c r="H868" i="35"/>
  <c r="H867" i="35"/>
  <c r="H866" i="35"/>
  <c r="G869" i="35"/>
  <c r="G868" i="35"/>
  <c r="G867" i="35"/>
  <c r="G866" i="35"/>
  <c r="F869" i="35"/>
  <c r="F868" i="35"/>
  <c r="F867" i="35"/>
  <c r="F866" i="35"/>
  <c r="E869" i="35"/>
  <c r="E868" i="35"/>
  <c r="E867" i="35"/>
  <c r="E866" i="35"/>
  <c r="E870" i="35"/>
  <c r="F870" i="35"/>
  <c r="G870" i="35"/>
  <c r="H870" i="35"/>
  <c r="I870" i="35"/>
  <c r="J870" i="35"/>
  <c r="C869" i="35"/>
  <c r="C867" i="35"/>
  <c r="J722" i="35"/>
  <c r="I722" i="35"/>
  <c r="H722" i="35"/>
  <c r="G722" i="35"/>
  <c r="F722" i="35"/>
  <c r="E722" i="35"/>
  <c r="S27" i="42" l="1"/>
  <c r="D81" i="42"/>
  <c r="D82" i="42" s="1"/>
  <c r="C81" i="42"/>
  <c r="C82" i="42" s="1"/>
  <c r="AA20" i="42"/>
  <c r="AQ20" i="42" s="1"/>
  <c r="AK20" i="42" s="1"/>
  <c r="AA21" i="42"/>
  <c r="AQ21" i="42" s="1"/>
  <c r="AK21" i="42" s="1"/>
  <c r="AA19" i="42"/>
  <c r="AL19" i="42" s="1"/>
  <c r="AK19" i="42" s="1"/>
  <c r="AA18" i="42"/>
  <c r="AL18" i="42" s="1"/>
  <c r="AK18" i="42" s="1"/>
  <c r="AA17" i="42"/>
  <c r="AL17" i="42" s="1"/>
  <c r="AK17" i="42" s="1"/>
  <c r="AA16" i="42"/>
  <c r="AL16" i="42" s="1"/>
  <c r="AK16" i="42" s="1"/>
  <c r="AA14" i="42"/>
  <c r="AL14" i="42" s="1"/>
  <c r="AK14" i="42" s="1"/>
  <c r="B81" i="42"/>
  <c r="B82" i="42" s="1"/>
  <c r="AG45" i="42"/>
  <c r="AT78" i="42"/>
  <c r="AK78" i="42" s="1"/>
  <c r="AT77" i="42"/>
  <c r="AK77" i="42" s="1"/>
  <c r="AK76" i="42"/>
  <c r="AK74" i="42"/>
  <c r="AK71" i="42"/>
  <c r="AK70" i="42"/>
  <c r="AT67" i="42"/>
  <c r="AK67" i="42" s="1"/>
  <c r="AT64" i="42"/>
  <c r="AK64" i="42" s="1"/>
  <c r="AT62" i="42"/>
  <c r="AK62" i="42" s="1"/>
  <c r="AT61" i="42"/>
  <c r="AK61" i="42" s="1"/>
  <c r="AK59" i="42"/>
  <c r="AI59" i="42"/>
  <c r="AJ59" i="42" s="1"/>
  <c r="AK58" i="42"/>
  <c r="AI58" i="42"/>
  <c r="AJ58" i="42" s="1"/>
  <c r="AK57" i="42"/>
  <c r="AI57" i="42"/>
  <c r="AJ57" i="42" s="1"/>
  <c r="AQ56" i="42"/>
  <c r="AK56" i="42" s="1"/>
  <c r="AQ55" i="42"/>
  <c r="AK55" i="42" s="1"/>
  <c r="AG55" i="42"/>
  <c r="AK54" i="42"/>
  <c r="AK53" i="42"/>
  <c r="AK52" i="42"/>
  <c r="AK50" i="42"/>
  <c r="AK49" i="42"/>
  <c r="AK48" i="42"/>
  <c r="AK47" i="42"/>
  <c r="AK46" i="42"/>
  <c r="Q46" i="42"/>
  <c r="AA46" i="42" s="1"/>
  <c r="AK45" i="42"/>
  <c r="AK44" i="42"/>
  <c r="AK42" i="42"/>
  <c r="AK41" i="42"/>
  <c r="AK40" i="42"/>
  <c r="AK39" i="42"/>
  <c r="Q39" i="42"/>
  <c r="AK38" i="42"/>
  <c r="AK37" i="42"/>
  <c r="AK35" i="42"/>
  <c r="AK34" i="42"/>
  <c r="AK32" i="42"/>
  <c r="AI32" i="42"/>
  <c r="AK31" i="42"/>
  <c r="Q31" i="42"/>
  <c r="AA31" i="42" s="1"/>
  <c r="AK30" i="42"/>
  <c r="AK29" i="42"/>
  <c r="AK28" i="42"/>
  <c r="AI28" i="42"/>
  <c r="AG28" i="42"/>
  <c r="AK27" i="42"/>
  <c r="AK26" i="42"/>
  <c r="AK25" i="42"/>
  <c r="AK24" i="42"/>
  <c r="AK23" i="42"/>
  <c r="AK12" i="42"/>
  <c r="AK11" i="42"/>
  <c r="AK10" i="42"/>
  <c r="AH10" i="42" s="1"/>
  <c r="AK9" i="42"/>
  <c r="AH9" i="42" s="1"/>
  <c r="AK8" i="42"/>
  <c r="AH8" i="42" s="1"/>
  <c r="F89" i="42"/>
  <c r="Z86" i="42"/>
  <c r="Y86" i="42"/>
  <c r="X86" i="42"/>
  <c r="W86" i="42"/>
  <c r="V86" i="42"/>
  <c r="U86" i="42"/>
  <c r="T86" i="42"/>
  <c r="S86" i="42"/>
  <c r="R86" i="42"/>
  <c r="Q86" i="42"/>
  <c r="P86" i="42"/>
  <c r="O86" i="42"/>
  <c r="N86" i="42"/>
  <c r="M86" i="42"/>
  <c r="I86" i="42"/>
  <c r="H86" i="42"/>
  <c r="G86" i="42"/>
  <c r="F86" i="42"/>
  <c r="E86" i="42"/>
  <c r="D86" i="42"/>
  <c r="C86" i="42"/>
  <c r="B86" i="42"/>
  <c r="Z84" i="42"/>
  <c r="Y84" i="42"/>
  <c r="X84" i="42"/>
  <c r="W84" i="42"/>
  <c r="V84" i="42"/>
  <c r="Q84" i="42"/>
  <c r="P84" i="42"/>
  <c r="O84" i="42"/>
  <c r="N84" i="42"/>
  <c r="M84" i="42"/>
  <c r="AA83" i="42"/>
  <c r="Z81" i="42"/>
  <c r="Z82" i="42" s="1"/>
  <c r="Y81" i="42"/>
  <c r="Y82" i="42" s="1"/>
  <c r="X81" i="42"/>
  <c r="X82" i="42" s="1"/>
  <c r="P81" i="42"/>
  <c r="P82" i="42" s="1"/>
  <c r="N81" i="42"/>
  <c r="N82" i="42" s="1"/>
  <c r="M81" i="42"/>
  <c r="M82" i="42" s="1"/>
  <c r="G81" i="42"/>
  <c r="G82" i="42" s="1"/>
  <c r="AA80" i="42"/>
  <c r="AT80" i="42" s="1"/>
  <c r="AK80" i="42" s="1"/>
  <c r="AA79" i="42"/>
  <c r="AT79" i="42" s="1"/>
  <c r="AK79" i="42" s="1"/>
  <c r="AA78" i="42"/>
  <c r="F77" i="42"/>
  <c r="F76" i="42"/>
  <c r="AA75" i="42"/>
  <c r="AS75" i="42" s="1"/>
  <c r="AK75" i="42" s="1"/>
  <c r="AK72" i="42"/>
  <c r="AT68" i="42"/>
  <c r="AK68" i="42" s="1"/>
  <c r="AT66" i="42"/>
  <c r="AK66" i="42" s="1"/>
  <c r="AT63" i="42"/>
  <c r="AK63" i="42" s="1"/>
  <c r="AA60" i="42"/>
  <c r="AA59" i="42"/>
  <c r="AA58" i="42"/>
  <c r="AA57" i="42"/>
  <c r="AA56" i="42"/>
  <c r="AA55" i="42"/>
  <c r="AA54" i="42"/>
  <c r="AG54" i="42" s="1"/>
  <c r="AA53" i="42"/>
  <c r="AG53" i="42" s="1"/>
  <c r="AA52" i="42"/>
  <c r="AI52" i="42" s="1"/>
  <c r="AA51" i="42"/>
  <c r="AA50" i="42"/>
  <c r="AA49" i="42"/>
  <c r="AI49" i="42" s="1"/>
  <c r="AA48" i="42"/>
  <c r="AI48" i="42" s="1"/>
  <c r="AA47" i="42"/>
  <c r="AA45" i="42"/>
  <c r="AI45" i="42" s="1"/>
  <c r="AA44" i="42"/>
  <c r="AI44" i="42" s="1"/>
  <c r="AA43" i="42"/>
  <c r="AA42" i="42"/>
  <c r="AI42" i="42" s="1"/>
  <c r="AA41" i="42"/>
  <c r="AI41" i="42" s="1"/>
  <c r="AA40" i="42"/>
  <c r="AA38" i="42"/>
  <c r="AA37" i="42"/>
  <c r="AI37" i="42" s="1"/>
  <c r="AA36" i="42"/>
  <c r="AA35" i="42"/>
  <c r="AG35" i="42" s="1"/>
  <c r="AA34" i="42"/>
  <c r="AG34" i="42" s="1"/>
  <c r="AA33" i="42"/>
  <c r="AA32" i="42"/>
  <c r="AA30" i="42"/>
  <c r="AI30" i="42" s="1"/>
  <c r="V81" i="42"/>
  <c r="V82" i="42" s="1"/>
  <c r="AA26" i="42"/>
  <c r="AG26" i="42" s="1"/>
  <c r="AA25" i="42"/>
  <c r="AG25" i="42" s="1"/>
  <c r="AA24" i="42"/>
  <c r="AG24" i="42" s="1"/>
  <c r="AA23" i="42"/>
  <c r="AG23" i="42" s="1"/>
  <c r="AA10" i="42"/>
  <c r="AA9" i="42"/>
  <c r="AA8" i="42"/>
  <c r="AG38" i="42" l="1"/>
  <c r="AI38" i="42"/>
  <c r="E81" i="42"/>
  <c r="E82" i="42" s="1"/>
  <c r="AG42" i="42"/>
  <c r="T27" i="42"/>
  <c r="T81" i="42" s="1"/>
  <c r="T84" i="42" s="1"/>
  <c r="AI53" i="42"/>
  <c r="AI60" i="42" s="1"/>
  <c r="AJ60" i="42" s="1"/>
  <c r="AI51" i="42"/>
  <c r="AJ51" i="42" s="1"/>
  <c r="O81" i="42"/>
  <c r="O82" i="42" s="1"/>
  <c r="AT65" i="42"/>
  <c r="AK65" i="42" s="1"/>
  <c r="S81" i="42"/>
  <c r="S84" i="42" s="1"/>
  <c r="AG49" i="42"/>
  <c r="AI34" i="42"/>
  <c r="AI35" i="42"/>
  <c r="AG52" i="42"/>
  <c r="AG44" i="42"/>
  <c r="AG37" i="42"/>
  <c r="F81" i="42"/>
  <c r="F82" i="42" s="1"/>
  <c r="AA29" i="42"/>
  <c r="AH11" i="42"/>
  <c r="Q11" i="42" s="1"/>
  <c r="W27" i="42"/>
  <c r="W81" i="42" s="1"/>
  <c r="W82" i="42" s="1"/>
  <c r="R27" i="42"/>
  <c r="R81" i="42" s="1"/>
  <c r="AA22" i="42"/>
  <c r="AQ22" i="42" s="1"/>
  <c r="AK22" i="42" s="1"/>
  <c r="I81" i="42"/>
  <c r="K735" i="35" s="1"/>
  <c r="U81" i="42"/>
  <c r="U84" i="42" s="1"/>
  <c r="AA15" i="42"/>
  <c r="AL15" i="42" s="1"/>
  <c r="AK15" i="42" s="1"/>
  <c r="AA13" i="42"/>
  <c r="AG39" i="42"/>
  <c r="AG59" i="42"/>
  <c r="AG78" i="42"/>
  <c r="AG46" i="42"/>
  <c r="AG57" i="42"/>
  <c r="AG10" i="42"/>
  <c r="AG32" i="42"/>
  <c r="AG8" i="42"/>
  <c r="AG40" i="42"/>
  <c r="AG9" i="42"/>
  <c r="AG47" i="42"/>
  <c r="AG58" i="42"/>
  <c r="H81" i="42"/>
  <c r="H82" i="42" s="1"/>
  <c r="AA39" i="42"/>
  <c r="AR60" i="42" l="1"/>
  <c r="AQ60" i="42"/>
  <c r="AP60" i="42"/>
  <c r="AO60" i="42"/>
  <c r="AN60" i="42"/>
  <c r="AM60" i="42"/>
  <c r="AL60" i="42"/>
  <c r="AI43" i="42"/>
  <c r="AJ43" i="42" s="1"/>
  <c r="AQ51" i="42"/>
  <c r="AP51" i="42"/>
  <c r="AO51" i="42"/>
  <c r="AN51" i="42"/>
  <c r="AM51" i="42"/>
  <c r="AL51" i="42"/>
  <c r="AR51" i="42"/>
  <c r="AG11" i="42"/>
  <c r="K870" i="35"/>
  <c r="K722" i="35"/>
  <c r="I82" i="42"/>
  <c r="T82" i="42"/>
  <c r="S82" i="42"/>
  <c r="AA11" i="42"/>
  <c r="Q81" i="42"/>
  <c r="AI36" i="42"/>
  <c r="AJ36" i="42" s="1"/>
  <c r="AI29" i="42"/>
  <c r="AI33" i="42" s="1"/>
  <c r="AJ33" i="42" s="1"/>
  <c r="AG29" i="42"/>
  <c r="AA27" i="42"/>
  <c r="U82" i="42"/>
  <c r="AT13" i="42"/>
  <c r="AQ13" i="42"/>
  <c r="AL13" i="42"/>
  <c r="R84" i="42"/>
  <c r="R82" i="42"/>
  <c r="AA84" i="42"/>
  <c r="AG12" i="42" l="1"/>
  <c r="AN43" i="42"/>
  <c r="AM43" i="42"/>
  <c r="AP43" i="42"/>
  <c r="AL43" i="42"/>
  <c r="AQ43" i="42"/>
  <c r="AR43" i="42"/>
  <c r="AO43" i="42"/>
  <c r="AQ36" i="42"/>
  <c r="AP36" i="42"/>
  <c r="AO36" i="42"/>
  <c r="AN36" i="42"/>
  <c r="AM36" i="42"/>
  <c r="AR36" i="42"/>
  <c r="AL36" i="42"/>
  <c r="AQ33" i="42"/>
  <c r="AP33" i="42"/>
  <c r="AO33" i="42"/>
  <c r="AM33" i="42"/>
  <c r="AL33" i="42"/>
  <c r="AN33" i="42"/>
  <c r="AR33" i="42"/>
  <c r="K867" i="35"/>
  <c r="K866" i="35"/>
  <c r="K868" i="35"/>
  <c r="K869" i="35"/>
  <c r="AK51" i="42"/>
  <c r="AK60" i="42"/>
  <c r="AK13" i="42"/>
  <c r="AK43" i="42" l="1"/>
  <c r="AK36" i="42"/>
  <c r="AK33" i="42"/>
  <c r="AC20" i="47" l="1"/>
  <c r="AC19" i="47"/>
  <c r="AC10" i="47" l="1"/>
  <c r="H727" i="35"/>
  <c r="H798" i="35" s="1"/>
  <c r="I727" i="35"/>
  <c r="I798" i="35" s="1"/>
  <c r="J727" i="35"/>
  <c r="J798" i="35" s="1"/>
  <c r="K727" i="35"/>
  <c r="K798" i="35" s="1"/>
  <c r="L727" i="35"/>
  <c r="L798" i="35" s="1"/>
  <c r="G727" i="35"/>
  <c r="G798" i="35" s="1"/>
  <c r="F727" i="35"/>
  <c r="F798" i="35" s="1"/>
  <c r="E727" i="35"/>
  <c r="E798" i="35" s="1"/>
  <c r="C727" i="35"/>
  <c r="C798" i="35" s="1"/>
  <c r="D151" i="35" l="1"/>
  <c r="E151" i="35"/>
  <c r="E190" i="35" s="1"/>
  <c r="F151" i="35"/>
  <c r="F190" i="35" s="1"/>
  <c r="G151" i="35"/>
  <c r="G190" i="35" s="1"/>
  <c r="H151" i="35"/>
  <c r="H190" i="35" s="1"/>
  <c r="I151" i="35"/>
  <c r="I190" i="35" s="1"/>
  <c r="J151" i="35"/>
  <c r="J190" i="35" s="1"/>
  <c r="K151" i="35"/>
  <c r="K190" i="35" s="1"/>
  <c r="L151" i="35"/>
  <c r="L190" i="35" s="1"/>
  <c r="C151" i="35"/>
  <c r="C190" i="35" s="1"/>
  <c r="C254" i="44" l="1"/>
  <c r="E254" i="44" s="1"/>
  <c r="F231" i="44"/>
  <c r="D231" i="44"/>
  <c r="C180" i="44"/>
  <c r="C179" i="44"/>
  <c r="C178" i="44"/>
  <c r="C177" i="44"/>
  <c r="C176" i="44"/>
  <c r="C175" i="44"/>
  <c r="C174" i="44"/>
  <c r="C349" i="44"/>
  <c r="C348" i="44"/>
  <c r="C347" i="44"/>
  <c r="C346" i="44"/>
  <c r="C345" i="44"/>
  <c r="C344" i="44"/>
  <c r="C343" i="44"/>
  <c r="C342" i="44"/>
  <c r="C341" i="44"/>
  <c r="C340" i="44"/>
  <c r="C339" i="44"/>
  <c r="C338" i="44"/>
  <c r="C337" i="44"/>
  <c r="C336" i="44"/>
  <c r="C335" i="44"/>
  <c r="C334" i="44"/>
  <c r="C302" i="44"/>
  <c r="C301" i="44"/>
  <c r="F462" i="44"/>
  <c r="F461" i="44"/>
  <c r="E461" i="44"/>
  <c r="D461" i="44"/>
  <c r="C461" i="44"/>
  <c r="F460" i="44"/>
  <c r="E460" i="44"/>
  <c r="D460" i="44"/>
  <c r="C460" i="44"/>
  <c r="F459" i="44"/>
  <c r="F458" i="44"/>
  <c r="E458" i="44"/>
  <c r="D458" i="44"/>
  <c r="F457" i="44"/>
  <c r="E457" i="44"/>
  <c r="D457" i="44"/>
  <c r="F456" i="44"/>
  <c r="E456" i="44"/>
  <c r="D456" i="44"/>
  <c r="C456" i="44"/>
  <c r="F26" i="50"/>
  <c r="E26" i="50"/>
  <c r="D26" i="50"/>
  <c r="C26" i="50"/>
  <c r="B26" i="50"/>
  <c r="J18" i="50"/>
  <c r="I18" i="50"/>
  <c r="H18" i="50"/>
  <c r="J17" i="50"/>
  <c r="I17" i="50"/>
  <c r="H17" i="50"/>
  <c r="I13" i="50"/>
  <c r="I12" i="50"/>
  <c r="M42" i="49"/>
  <c r="H42" i="49"/>
  <c r="G42" i="49"/>
  <c r="F42" i="49"/>
  <c r="E42" i="49"/>
  <c r="D42" i="49"/>
  <c r="C42" i="49"/>
  <c r="B42" i="49"/>
  <c r="L40" i="49"/>
  <c r="K40" i="49"/>
  <c r="L39" i="49"/>
  <c r="K39" i="49"/>
  <c r="L38" i="49"/>
  <c r="K38" i="49"/>
  <c r="J38" i="49"/>
  <c r="C462" i="44" s="1"/>
  <c r="L37" i="49"/>
  <c r="L36" i="49"/>
  <c r="J30" i="49"/>
  <c r="J29" i="49"/>
  <c r="K28" i="49"/>
  <c r="J28" i="49"/>
  <c r="J27" i="49"/>
  <c r="L26" i="49"/>
  <c r="E459" i="44" s="1"/>
  <c r="K26" i="49"/>
  <c r="J26" i="49"/>
  <c r="J25" i="49"/>
  <c r="J24" i="49"/>
  <c r="J20" i="49"/>
  <c r="C457" i="44" s="1"/>
  <c r="N40" i="48"/>
  <c r="P39" i="48"/>
  <c r="P38" i="48"/>
  <c r="P37" i="48"/>
  <c r="M35" i="48"/>
  <c r="L35" i="48"/>
  <c r="M34" i="48"/>
  <c r="L34" i="48"/>
  <c r="L33" i="48"/>
  <c r="P33" i="48" s="1"/>
  <c r="O33" i="48" s="1"/>
  <c r="M32" i="48"/>
  <c r="L32" i="48"/>
  <c r="L31" i="48"/>
  <c r="P31" i="48" s="1"/>
  <c r="L30" i="48"/>
  <c r="P30" i="48" s="1"/>
  <c r="L29" i="48"/>
  <c r="K29" i="48"/>
  <c r="M28" i="48"/>
  <c r="F230" i="44" s="1"/>
  <c r="L28" i="48"/>
  <c r="K28" i="48"/>
  <c r="D27" i="48"/>
  <c r="C27" i="48"/>
  <c r="B27" i="48"/>
  <c r="C26" i="48"/>
  <c r="B26" i="48"/>
  <c r="M26" i="48" s="1"/>
  <c r="P26" i="48" s="1"/>
  <c r="D253" i="44" s="1"/>
  <c r="D25" i="48"/>
  <c r="B25" i="48"/>
  <c r="M25" i="48" s="1"/>
  <c r="P24" i="48"/>
  <c r="P23" i="48"/>
  <c r="C255" i="44" s="1"/>
  <c r="P20" i="48"/>
  <c r="O20" i="48" s="1"/>
  <c r="P19" i="48"/>
  <c r="O19" i="48" s="1"/>
  <c r="P18" i="48"/>
  <c r="O18" i="48" s="1"/>
  <c r="P17" i="48"/>
  <c r="P13" i="48"/>
  <c r="C209" i="44" s="1"/>
  <c r="P12" i="48"/>
  <c r="O12" i="48" s="1"/>
  <c r="P11" i="48"/>
  <c r="O11" i="48" s="1"/>
  <c r="P10" i="48"/>
  <c r="C206" i="44" s="1"/>
  <c r="AB24" i="47"/>
  <c r="AA23" i="47"/>
  <c r="AA22" i="47"/>
  <c r="AA21" i="47"/>
  <c r="AC18" i="47"/>
  <c r="AC17" i="47"/>
  <c r="AC16" i="47"/>
  <c r="AC15" i="47"/>
  <c r="AC14" i="47"/>
  <c r="AC13" i="47"/>
  <c r="AD11" i="47"/>
  <c r="AD24" i="47" s="1"/>
  <c r="P9" i="44"/>
  <c r="O9" i="44"/>
  <c r="Y22" i="46"/>
  <c r="X22" i="46"/>
  <c r="W22" i="46"/>
  <c r="T22" i="46"/>
  <c r="S22" i="46"/>
  <c r="R22" i="46"/>
  <c r="Q22" i="46"/>
  <c r="P22" i="46"/>
  <c r="O22" i="46"/>
  <c r="N22" i="46"/>
  <c r="M22" i="46"/>
  <c r="L22" i="46"/>
  <c r="K22" i="46"/>
  <c r="J22" i="46"/>
  <c r="I22" i="46"/>
  <c r="H22" i="46"/>
  <c r="G22" i="46"/>
  <c r="F22" i="46"/>
  <c r="E22" i="46"/>
  <c r="D22" i="46"/>
  <c r="S8" i="46"/>
  <c r="R8" i="46"/>
  <c r="Q8" i="46"/>
  <c r="P8" i="46"/>
  <c r="O8" i="46"/>
  <c r="N8" i="46"/>
  <c r="M8" i="46"/>
  <c r="L8" i="46"/>
  <c r="K8" i="46"/>
  <c r="J8" i="46"/>
  <c r="I8" i="46"/>
  <c r="H8" i="46"/>
  <c r="G8" i="46"/>
  <c r="F8" i="46"/>
  <c r="E8" i="46"/>
  <c r="D8" i="46"/>
  <c r="O27" i="44"/>
  <c r="C25" i="44"/>
  <c r="D34" i="44"/>
  <c r="O38" i="44"/>
  <c r="S31" i="44" s="1"/>
  <c r="N38" i="44"/>
  <c r="AG35" i="44" s="1"/>
  <c r="AH35" i="44" s="1"/>
  <c r="P37" i="44"/>
  <c r="P36" i="44"/>
  <c r="P35" i="44"/>
  <c r="P34" i="44"/>
  <c r="P33" i="44"/>
  <c r="P32" i="44"/>
  <c r="P31" i="44"/>
  <c r="O28" i="44"/>
  <c r="C1263" i="35"/>
  <c r="C1262" i="35"/>
  <c r="C1261" i="35"/>
  <c r="C1258" i="35"/>
  <c r="C1257" i="35"/>
  <c r="C1256" i="35"/>
  <c r="C1255" i="35"/>
  <c r="C1253" i="35"/>
  <c r="C1254" i="35"/>
  <c r="C1155" i="35"/>
  <c r="C1213" i="35"/>
  <c r="C1160" i="35"/>
  <c r="C1159" i="35"/>
  <c r="C1158" i="35"/>
  <c r="C1157" i="35"/>
  <c r="C1156" i="35"/>
  <c r="C1163" i="35"/>
  <c r="C1164" i="35"/>
  <c r="D1153" i="35"/>
  <c r="P32" i="48" l="1"/>
  <c r="P34" i="48"/>
  <c r="O23" i="48"/>
  <c r="D462" i="44"/>
  <c r="AA24" i="47"/>
  <c r="J26" i="50"/>
  <c r="P29" i="48"/>
  <c r="O29" i="48" s="1"/>
  <c r="K40" i="48"/>
  <c r="E462" i="44"/>
  <c r="E463" i="44" s="1"/>
  <c r="C207" i="44"/>
  <c r="C208" i="44"/>
  <c r="C276" i="44"/>
  <c r="C231" i="44"/>
  <c r="I26" i="50"/>
  <c r="C459" i="44"/>
  <c r="K42" i="49"/>
  <c r="D459" i="44"/>
  <c r="J42" i="49"/>
  <c r="C458" i="44"/>
  <c r="C252" i="44"/>
  <c r="C253" i="44"/>
  <c r="E253" i="44" s="1"/>
  <c r="C251" i="44"/>
  <c r="E251" i="44" s="1"/>
  <c r="P35" i="48"/>
  <c r="E231" i="44"/>
  <c r="L40" i="48"/>
  <c r="D230" i="44"/>
  <c r="E230" i="44"/>
  <c r="M27" i="48"/>
  <c r="P27" i="48" s="1"/>
  <c r="D255" i="44" s="1"/>
  <c r="E255" i="44" s="1"/>
  <c r="C350" i="44"/>
  <c r="S32" i="44"/>
  <c r="AE15" i="47"/>
  <c r="C382" i="44" s="1"/>
  <c r="F463" i="44"/>
  <c r="N26" i="49"/>
  <c r="N40" i="49"/>
  <c r="N32" i="49"/>
  <c r="N24" i="49"/>
  <c r="C421" i="44" s="1"/>
  <c r="N16" i="49"/>
  <c r="K20" i="50"/>
  <c r="N39" i="49"/>
  <c r="N31" i="49"/>
  <c r="N23" i="49"/>
  <c r="N15" i="49"/>
  <c r="K18" i="50"/>
  <c r="N38" i="49"/>
  <c r="N14" i="49"/>
  <c r="K17" i="50"/>
  <c r="N37" i="49"/>
  <c r="N29" i="49"/>
  <c r="N21" i="49"/>
  <c r="N13" i="49"/>
  <c r="K12" i="50"/>
  <c r="K16" i="50"/>
  <c r="N22" i="49"/>
  <c r="N36" i="49"/>
  <c r="N28" i="49"/>
  <c r="N20" i="49"/>
  <c r="N12" i="49"/>
  <c r="K25" i="50"/>
  <c r="K15" i="50"/>
  <c r="N30" i="49"/>
  <c r="N35" i="49"/>
  <c r="N27" i="49"/>
  <c r="N19" i="49"/>
  <c r="K24" i="50"/>
  <c r="K14" i="50"/>
  <c r="N11" i="49"/>
  <c r="N34" i="49"/>
  <c r="N18" i="49"/>
  <c r="K22" i="50"/>
  <c r="K13" i="50"/>
  <c r="N41" i="49"/>
  <c r="N33" i="49"/>
  <c r="N25" i="49"/>
  <c r="N17" i="49"/>
  <c r="K21" i="50"/>
  <c r="H26" i="50"/>
  <c r="L42" i="49"/>
  <c r="O10" i="48"/>
  <c r="P28" i="48"/>
  <c r="P25" i="48"/>
  <c r="D252" i="44" s="1"/>
  <c r="AA11" i="46"/>
  <c r="Z11" i="46" s="1"/>
  <c r="AA14" i="46"/>
  <c r="Z14" i="46" s="1"/>
  <c r="AE22" i="47"/>
  <c r="C389" i="44" s="1"/>
  <c r="AE14" i="47"/>
  <c r="AA21" i="46"/>
  <c r="D308" i="44" s="1"/>
  <c r="AA13" i="46"/>
  <c r="Z13" i="46" s="1"/>
  <c r="AE21" i="47"/>
  <c r="AA19" i="46"/>
  <c r="D306" i="44" s="1"/>
  <c r="AA20" i="46"/>
  <c r="D307" i="44" s="1"/>
  <c r="AA12" i="46"/>
  <c r="Z12" i="46" s="1"/>
  <c r="AE20" i="47"/>
  <c r="AE19" i="47"/>
  <c r="AA18" i="46"/>
  <c r="D305" i="44" s="1"/>
  <c r="AA10" i="46"/>
  <c r="Z10" i="46" s="1"/>
  <c r="AE10" i="47"/>
  <c r="C378" i="44" s="1"/>
  <c r="AE18" i="47"/>
  <c r="AA17" i="46"/>
  <c r="D304" i="44" s="1"/>
  <c r="AA9" i="46"/>
  <c r="AE11" i="47"/>
  <c r="AE17" i="47"/>
  <c r="AA8" i="46"/>
  <c r="AA16" i="46"/>
  <c r="D303" i="44" s="1"/>
  <c r="AE13" i="47"/>
  <c r="AE16" i="47"/>
  <c r="AA15" i="46"/>
  <c r="Z15" i="46" s="1"/>
  <c r="AE23" i="47"/>
  <c r="C390" i="44" s="1"/>
  <c r="AC24" i="47"/>
  <c r="C181" i="44"/>
  <c r="S33" i="44"/>
  <c r="C28" i="44"/>
  <c r="P38" i="44"/>
  <c r="K955" i="35"/>
  <c r="C1006" i="35"/>
  <c r="E1006" i="35"/>
  <c r="F1006" i="35"/>
  <c r="G1006" i="35"/>
  <c r="H1006" i="35"/>
  <c r="I1006" i="35"/>
  <c r="J1006" i="35"/>
  <c r="K1007" i="35"/>
  <c r="K1006" i="35"/>
  <c r="D1251" i="35"/>
  <c r="D1206" i="35"/>
  <c r="C1162" i="35"/>
  <c r="L1006" i="35"/>
  <c r="H959" i="35"/>
  <c r="H958" i="35"/>
  <c r="J957" i="35"/>
  <c r="H956" i="35"/>
  <c r="J955" i="35"/>
  <c r="H954" i="35"/>
  <c r="K953" i="35"/>
  <c r="H952" i="35"/>
  <c r="H951" i="35"/>
  <c r="K950" i="35"/>
  <c r="H950" i="35"/>
  <c r="J949" i="35"/>
  <c r="I949" i="35"/>
  <c r="G949" i="35"/>
  <c r="F949" i="35"/>
  <c r="E949" i="35"/>
  <c r="D949" i="35"/>
  <c r="H948" i="35"/>
  <c r="K947" i="35"/>
  <c r="J947" i="35"/>
  <c r="I947" i="35"/>
  <c r="H947" i="35"/>
  <c r="G947" i="35"/>
  <c r="F947" i="35"/>
  <c r="E947" i="35"/>
  <c r="D947" i="35"/>
  <c r="L592" i="35"/>
  <c r="V380" i="35"/>
  <c r="M115" i="35"/>
  <c r="M114" i="35"/>
  <c r="M113" i="35"/>
  <c r="M112" i="35"/>
  <c r="M111" i="35"/>
  <c r="M110" i="35"/>
  <c r="E252" i="44" l="1"/>
  <c r="C463" i="44"/>
  <c r="D463" i="44"/>
  <c r="C277" i="44"/>
  <c r="O28" i="48"/>
  <c r="C230" i="44"/>
  <c r="M40" i="48"/>
  <c r="P40" i="48"/>
  <c r="C419" i="44"/>
  <c r="C139" i="44"/>
  <c r="C494" i="44"/>
  <c r="K26" i="50"/>
  <c r="C425" i="44"/>
  <c r="C493" i="44"/>
  <c r="N42" i="49"/>
  <c r="D379" i="44"/>
  <c r="C140" i="44"/>
  <c r="C387" i="44"/>
  <c r="C138" i="44"/>
  <c r="Z9" i="46"/>
  <c r="C135" i="44"/>
  <c r="C496" i="44"/>
  <c r="C141" i="44"/>
  <c r="C383" i="44"/>
  <c r="C385" i="44"/>
  <c r="C143" i="44"/>
  <c r="C380" i="44"/>
  <c r="C136" i="44"/>
  <c r="C388" i="44"/>
  <c r="C144" i="44"/>
  <c r="C492" i="44"/>
  <c r="C495" i="44"/>
  <c r="C422" i="44"/>
  <c r="C300" i="44"/>
  <c r="C134" i="44"/>
  <c r="C424" i="44"/>
  <c r="Z8" i="46"/>
  <c r="C384" i="44"/>
  <c r="C142" i="44"/>
  <c r="C386" i="44"/>
  <c r="C137" i="44"/>
  <c r="AE24" i="47"/>
  <c r="D381" i="44"/>
  <c r="C497" i="44"/>
  <c r="G525" i="44"/>
  <c r="C420" i="44"/>
  <c r="C423" i="44"/>
  <c r="AA22" i="46"/>
  <c r="D31" i="44" l="1"/>
  <c r="E31" i="44"/>
  <c r="D32" i="44"/>
  <c r="E32" i="44"/>
  <c r="D36" i="44"/>
  <c r="C36" i="44" s="1"/>
  <c r="E36" i="44"/>
  <c r="D33" i="44"/>
  <c r="E33" i="44"/>
  <c r="D37" i="44"/>
  <c r="E37" i="44"/>
  <c r="L105" i="35"/>
  <c r="K721" i="35"/>
  <c r="K720" i="35"/>
  <c r="K719" i="35"/>
  <c r="K718" i="35"/>
  <c r="K717" i="35"/>
  <c r="K733" i="35" s="1"/>
  <c r="K804" i="35" s="1"/>
  <c r="K716" i="35"/>
  <c r="K732" i="35" s="1"/>
  <c r="K803" i="35" s="1"/>
  <c r="K715" i="35"/>
  <c r="K731" i="35" s="1"/>
  <c r="K802" i="35" s="1"/>
  <c r="K714" i="35"/>
  <c r="K713" i="35"/>
  <c r="K712" i="35"/>
  <c r="K711" i="35"/>
  <c r="K710" i="35"/>
  <c r="K709" i="35"/>
  <c r="K729" i="35" s="1"/>
  <c r="K800" i="35" s="1"/>
  <c r="E38" i="44" l="1"/>
  <c r="K730" i="35"/>
  <c r="K801" i="35" s="1"/>
  <c r="K734" i="35"/>
  <c r="K805" i="35" s="1"/>
  <c r="C592" i="35"/>
  <c r="E592" i="35"/>
  <c r="F592" i="35"/>
  <c r="G592" i="35"/>
  <c r="H592" i="35"/>
  <c r="I592" i="35"/>
  <c r="J592" i="35"/>
  <c r="K602" i="35"/>
  <c r="K601" i="35"/>
  <c r="K600" i="35"/>
  <c r="K599" i="35"/>
  <c r="K593" i="35"/>
  <c r="K592" i="35"/>
  <c r="C478" i="35"/>
  <c r="C480" i="35" s="1"/>
  <c r="C482" i="35" s="1"/>
  <c r="C484" i="35" s="1"/>
  <c r="C486" i="35" s="1"/>
  <c r="C479" i="35"/>
  <c r="C481" i="35" s="1"/>
  <c r="C483" i="35" s="1"/>
  <c r="C485" i="35" s="1"/>
  <c r="C487" i="35" s="1"/>
  <c r="U381" i="35"/>
  <c r="U380" i="35"/>
  <c r="U379" i="35"/>
  <c r="U378" i="35"/>
  <c r="D559" i="35" s="1"/>
  <c r="U377" i="35"/>
  <c r="K381" i="35"/>
  <c r="K380" i="35"/>
  <c r="K379" i="35"/>
  <c r="K378" i="35"/>
  <c r="K377" i="35"/>
  <c r="I32" i="44" l="1"/>
  <c r="I31" i="44"/>
  <c r="I33" i="44" s="1"/>
  <c r="AE380" i="35"/>
  <c r="K603" i="35"/>
  <c r="AE378" i="35"/>
  <c r="E559" i="35" s="1"/>
  <c r="G559" i="35" s="1"/>
  <c r="AE379" i="35"/>
  <c r="AE381" i="35"/>
  <c r="AE377" i="35"/>
  <c r="F559" i="35" l="1"/>
  <c r="K115" i="35"/>
  <c r="K114" i="35"/>
  <c r="K113" i="35"/>
  <c r="K112" i="35"/>
  <c r="K111" i="35"/>
  <c r="K158" i="35" s="1"/>
  <c r="K197" i="35" s="1"/>
  <c r="K110" i="35"/>
  <c r="K156" i="35" s="1"/>
  <c r="K195" i="35" s="1"/>
  <c r="K109" i="35"/>
  <c r="K155" i="35" s="1"/>
  <c r="K194" i="35" s="1"/>
  <c r="K108" i="35"/>
  <c r="K107" i="35"/>
  <c r="K106" i="35"/>
  <c r="K105" i="35"/>
  <c r="K104" i="35"/>
  <c r="K103" i="35"/>
  <c r="K153" i="35" s="1"/>
  <c r="K192" i="35" s="1"/>
  <c r="I600" i="35"/>
  <c r="H600" i="35"/>
  <c r="R378" i="35"/>
  <c r="D556" i="35" s="1"/>
  <c r="G600" i="35"/>
  <c r="F600" i="35"/>
  <c r="E600" i="35"/>
  <c r="O378" i="35"/>
  <c r="D553" i="35" s="1"/>
  <c r="C600" i="35"/>
  <c r="J600" i="35"/>
  <c r="T378" i="35"/>
  <c r="M378" i="35" l="1"/>
  <c r="D551" i="35" s="1"/>
  <c r="C379" i="35"/>
  <c r="C1001" i="35"/>
  <c r="M381" i="35"/>
  <c r="C381" i="35"/>
  <c r="M379" i="35"/>
  <c r="C1003" i="35"/>
  <c r="M380" i="35"/>
  <c r="C1004" i="35"/>
  <c r="C1005" i="35"/>
  <c r="C1008" i="35"/>
  <c r="C599" i="35"/>
  <c r="C593" i="35"/>
  <c r="C602" i="35"/>
  <c r="E602" i="35"/>
  <c r="E379" i="35"/>
  <c r="E593" i="35"/>
  <c r="E380" i="35"/>
  <c r="E1001" i="35"/>
  <c r="O381" i="35"/>
  <c r="E381" i="35"/>
  <c r="O379" i="35"/>
  <c r="O380" i="35"/>
  <c r="E1003" i="35"/>
  <c r="E1004" i="35"/>
  <c r="E1005" i="35"/>
  <c r="E1008" i="35"/>
  <c r="E599" i="35"/>
  <c r="E601" i="35"/>
  <c r="P378" i="35"/>
  <c r="D554" i="35" s="1"/>
  <c r="F593" i="35"/>
  <c r="F380" i="35"/>
  <c r="F602" i="35"/>
  <c r="F1005" i="35"/>
  <c r="F379" i="35"/>
  <c r="F1001" i="35"/>
  <c r="F381" i="35"/>
  <c r="P381" i="35"/>
  <c r="P379" i="35"/>
  <c r="F1003" i="35"/>
  <c r="P380" i="35"/>
  <c r="F1004" i="35"/>
  <c r="F1008" i="35"/>
  <c r="F599" i="35"/>
  <c r="F601" i="35"/>
  <c r="G601" i="35"/>
  <c r="G1001" i="35"/>
  <c r="G381" i="35"/>
  <c r="Q381" i="35"/>
  <c r="Q379" i="35"/>
  <c r="G1003" i="35"/>
  <c r="Q380" i="35"/>
  <c r="G379" i="35"/>
  <c r="G1004" i="35"/>
  <c r="G1005" i="35"/>
  <c r="G599" i="35"/>
  <c r="G602" i="35"/>
  <c r="G1008" i="35"/>
  <c r="Q378" i="35"/>
  <c r="D555" i="35" s="1"/>
  <c r="G380" i="35"/>
  <c r="G593" i="35"/>
  <c r="H1001" i="35"/>
  <c r="H381" i="35"/>
  <c r="R381" i="35"/>
  <c r="R379" i="35"/>
  <c r="H1003" i="35"/>
  <c r="H1004" i="35"/>
  <c r="H1005" i="35"/>
  <c r="R380" i="35"/>
  <c r="H1008" i="35"/>
  <c r="H599" i="35"/>
  <c r="H602" i="35"/>
  <c r="H601" i="35"/>
  <c r="H380" i="35"/>
  <c r="H593" i="35"/>
  <c r="H379" i="35"/>
  <c r="I601" i="35"/>
  <c r="I1004" i="35"/>
  <c r="I1005" i="35"/>
  <c r="I377" i="35"/>
  <c r="I1007" i="35"/>
  <c r="S377" i="35"/>
  <c r="I1008" i="35"/>
  <c r="I599" i="35"/>
  <c r="S378" i="35"/>
  <c r="D557" i="35" s="1"/>
  <c r="I593" i="35"/>
  <c r="I380" i="35"/>
  <c r="I602" i="35"/>
  <c r="I379" i="35"/>
  <c r="I1001" i="35"/>
  <c r="S381" i="35"/>
  <c r="I381" i="35"/>
  <c r="S379" i="35"/>
  <c r="I1003" i="35"/>
  <c r="S380" i="35"/>
  <c r="J1008" i="35"/>
  <c r="J378" i="35"/>
  <c r="J599" i="35"/>
  <c r="J601" i="35"/>
  <c r="J593" i="35"/>
  <c r="J380" i="35"/>
  <c r="J602" i="35"/>
  <c r="J379" i="35"/>
  <c r="J1001" i="35"/>
  <c r="T379" i="35"/>
  <c r="T381" i="35"/>
  <c r="J381" i="35"/>
  <c r="J1003" i="35"/>
  <c r="T380" i="35"/>
  <c r="J1004" i="35"/>
  <c r="J1005" i="35"/>
  <c r="K154" i="35"/>
  <c r="K193" i="35" s="1"/>
  <c r="K157" i="35"/>
  <c r="K196" i="35" s="1"/>
  <c r="C601" i="35"/>
  <c r="C380" i="35"/>
  <c r="C378" i="35"/>
  <c r="C1002" i="35" l="1"/>
  <c r="E1002" i="35"/>
  <c r="E378" i="35"/>
  <c r="F378" i="35"/>
  <c r="F1002" i="35"/>
  <c r="G1002" i="35"/>
  <c r="G378" i="35"/>
  <c r="G1007" i="35"/>
  <c r="Q377" i="35"/>
  <c r="H378" i="35"/>
  <c r="H1007" i="35"/>
  <c r="R377" i="35"/>
  <c r="H1002" i="35"/>
  <c r="I1002" i="35"/>
  <c r="I378" i="35"/>
  <c r="J1007" i="35"/>
  <c r="T377" i="35"/>
  <c r="J1002" i="35"/>
  <c r="K951" i="35"/>
  <c r="L593" i="35"/>
  <c r="K1004" i="35"/>
  <c r="K1005" i="35"/>
  <c r="K1008" i="35"/>
  <c r="K1002" i="35"/>
  <c r="K1001" i="35"/>
  <c r="K1003" i="35"/>
  <c r="G382" i="35"/>
  <c r="Q382" i="35" s="1"/>
  <c r="E382" i="35"/>
  <c r="O382" i="35" s="1"/>
  <c r="J382" i="35"/>
  <c r="T382" i="35" s="1"/>
  <c r="J377" i="35"/>
  <c r="H382" i="35"/>
  <c r="R382" i="35" s="1"/>
  <c r="F382" i="35"/>
  <c r="P382" i="35" s="1"/>
  <c r="G377" i="35"/>
  <c r="H377" i="35"/>
  <c r="C1007" i="35" l="1"/>
  <c r="M377" i="35"/>
  <c r="E1007" i="35"/>
  <c r="O377" i="35"/>
  <c r="F1000" i="35"/>
  <c r="F1007" i="35"/>
  <c r="P377" i="35"/>
  <c r="H1000" i="35"/>
  <c r="I1000" i="35"/>
  <c r="E1000" i="35"/>
  <c r="J1000" i="35"/>
  <c r="G1000" i="35"/>
  <c r="E377" i="35"/>
  <c r="I382" i="35"/>
  <c r="S382" i="35" s="1"/>
  <c r="C377" i="35"/>
  <c r="F377" i="35"/>
  <c r="C1000" i="35" l="1"/>
  <c r="A12" i="42"/>
  <c r="K1000" i="35"/>
  <c r="K1009" i="35" s="1"/>
  <c r="AH81" i="42"/>
  <c r="AC83" i="42" s="1"/>
  <c r="AS81" i="42"/>
  <c r="C1259" i="35" l="1"/>
  <c r="C1161" i="35"/>
  <c r="K61" i="35"/>
  <c r="AA12" i="42"/>
  <c r="A81" i="42"/>
  <c r="A82" i="42" s="1"/>
  <c r="AT81" i="42"/>
  <c r="AA81" i="42" l="1"/>
  <c r="K382" i="35"/>
  <c r="AA82" i="42"/>
  <c r="D35" i="44"/>
  <c r="AI81" i="42"/>
  <c r="K383" i="35" l="1"/>
  <c r="U382" i="35"/>
  <c r="U383" i="35" s="1"/>
  <c r="AG81" i="42"/>
  <c r="AP81" i="42"/>
  <c r="AO81" i="42"/>
  <c r="AJ81" i="42"/>
  <c r="AR81" i="42"/>
  <c r="AQ81" i="42"/>
  <c r="AN81" i="42"/>
  <c r="AM81" i="42"/>
  <c r="AE382" i="35" l="1"/>
  <c r="AE383" i="35" s="1"/>
  <c r="K102" i="35"/>
  <c r="K116" i="35"/>
  <c r="K119" i="35" s="1"/>
  <c r="AC84" i="42"/>
  <c r="K62" i="35" s="1"/>
  <c r="AK81" i="42"/>
  <c r="AL81" i="42"/>
  <c r="K152" i="35" l="1"/>
  <c r="K871" i="35"/>
  <c r="K872" i="35" s="1"/>
  <c r="K708" i="35"/>
  <c r="AC82" i="42"/>
  <c r="K118" i="35"/>
  <c r="K117" i="35"/>
  <c r="L711" i="35"/>
  <c r="L600" i="35"/>
  <c r="L1005" i="35"/>
  <c r="L1004" i="35"/>
  <c r="L1001" i="35"/>
  <c r="L601" i="35" l="1"/>
  <c r="L115" i="35"/>
  <c r="L1008" i="35"/>
  <c r="L602" i="35"/>
  <c r="C949" i="35"/>
  <c r="H949" i="35"/>
  <c r="K949" i="35"/>
  <c r="L379" i="35"/>
  <c r="C1210" i="35"/>
  <c r="C1260" i="35"/>
  <c r="V381" i="35"/>
  <c r="D485" i="35" s="1"/>
  <c r="L381" i="35"/>
  <c r="L1003" i="35"/>
  <c r="C956" i="35"/>
  <c r="L599" i="35"/>
  <c r="L380" i="35"/>
  <c r="L718" i="35"/>
  <c r="L112" i="35"/>
  <c r="L709" i="35"/>
  <c r="L729" i="35" s="1"/>
  <c r="L800" i="35" s="1"/>
  <c r="L103" i="35"/>
  <c r="L153" i="35" s="1"/>
  <c r="L192" i="35" s="1"/>
  <c r="C1212" i="35"/>
  <c r="L716" i="35"/>
  <c r="L732" i="35" s="1"/>
  <c r="L803" i="35" s="1"/>
  <c r="L110" i="35"/>
  <c r="L156" i="35" s="1"/>
  <c r="L195" i="35" s="1"/>
  <c r="L715" i="35"/>
  <c r="L731" i="35" s="1"/>
  <c r="L802" i="35" s="1"/>
  <c r="L109" i="35"/>
  <c r="L155" i="35" s="1"/>
  <c r="L194" i="35" s="1"/>
  <c r="L721" i="35"/>
  <c r="C1211" i="35"/>
  <c r="L720" i="35"/>
  <c r="L114" i="35"/>
  <c r="L712" i="35"/>
  <c r="L106" i="35"/>
  <c r="K723" i="35"/>
  <c r="K728" i="35"/>
  <c r="K159" i="35"/>
  <c r="K191" i="35"/>
  <c r="K198" i="35" s="1"/>
  <c r="L713" i="35"/>
  <c r="L107" i="35"/>
  <c r="C1209" i="35" l="1"/>
  <c r="D1151" i="35"/>
  <c r="L378" i="35"/>
  <c r="C960" i="35"/>
  <c r="L377" i="35"/>
  <c r="D1152" i="35"/>
  <c r="J951" i="35"/>
  <c r="L1007" i="35"/>
  <c r="C951" i="35"/>
  <c r="L1002" i="35"/>
  <c r="K736" i="35"/>
  <c r="K799" i="35"/>
  <c r="K806" i="35" s="1"/>
  <c r="C1208" i="35"/>
  <c r="AF381" i="35"/>
  <c r="E485" i="35" s="1"/>
  <c r="F485" i="35" s="1"/>
  <c r="L603" i="35"/>
  <c r="C1165" i="35" l="1"/>
  <c r="C1166" i="35" s="1"/>
  <c r="H485" i="35"/>
  <c r="G485" i="35"/>
  <c r="D1250" i="35" l="1"/>
  <c r="D1205" i="35"/>
  <c r="G957" i="35"/>
  <c r="F957" i="35" l="1"/>
  <c r="I957" i="35"/>
  <c r="D1249" i="35"/>
  <c r="D1204" i="35"/>
  <c r="L382" i="35"/>
  <c r="V382" i="35" s="1"/>
  <c r="H957" i="35" l="1"/>
  <c r="D957" i="35"/>
  <c r="C957" i="35"/>
  <c r="L1000" i="35"/>
  <c r="L1009" i="35" s="1"/>
  <c r="L102" i="35"/>
  <c r="L116" i="35"/>
  <c r="L152" i="35" l="1"/>
  <c r="L708" i="35"/>
  <c r="L728" i="35" s="1"/>
  <c r="L871" i="35"/>
  <c r="D487" i="35"/>
  <c r="AF382" i="35"/>
  <c r="L799" i="35" l="1"/>
  <c r="L191" i="35"/>
  <c r="E487" i="35"/>
  <c r="F487" i="35" l="1"/>
  <c r="G487" i="35" s="1"/>
  <c r="H487" i="35" l="1"/>
  <c r="J714" i="35"/>
  <c r="J716" i="35"/>
  <c r="J732" i="35" s="1"/>
  <c r="J803" i="35" s="1"/>
  <c r="J709" i="35"/>
  <c r="J729" i="35" s="1"/>
  <c r="J800" i="35" s="1"/>
  <c r="J721" i="35"/>
  <c r="J720" i="35"/>
  <c r="J711" i="35"/>
  <c r="J718" i="35"/>
  <c r="J712" i="35"/>
  <c r="J715" i="35"/>
  <c r="J731" i="35" s="1"/>
  <c r="J802" i="35" s="1"/>
  <c r="J713" i="35"/>
  <c r="J717" i="35" l="1"/>
  <c r="J733" i="35" s="1"/>
  <c r="J804" i="35" s="1"/>
  <c r="J710" i="35"/>
  <c r="J730" i="35" s="1"/>
  <c r="J801" i="35" s="1"/>
  <c r="J719" i="35"/>
  <c r="J734" i="35" s="1"/>
  <c r="J805" i="35" s="1"/>
  <c r="I107" i="35" l="1"/>
  <c r="I105" i="35"/>
  <c r="I103" i="35"/>
  <c r="I153" i="35" s="1"/>
  <c r="I192" i="35" s="1"/>
  <c r="I106" i="35" l="1"/>
  <c r="F709" i="35"/>
  <c r="F729" i="35" s="1"/>
  <c r="F800" i="35" s="1"/>
  <c r="G711" i="35"/>
  <c r="H709" i="35"/>
  <c r="H729" i="35" s="1"/>
  <c r="H800" i="35" s="1"/>
  <c r="I709" i="35"/>
  <c r="I729" i="35" s="1"/>
  <c r="I800" i="35" s="1"/>
  <c r="E720" i="35"/>
  <c r="F711" i="35"/>
  <c r="H711" i="35"/>
  <c r="I711" i="35"/>
  <c r="C711" i="35"/>
  <c r="G709" i="35"/>
  <c r="G729" i="35" s="1"/>
  <c r="G800" i="35" s="1"/>
  <c r="C713" i="35"/>
  <c r="F713" i="35"/>
  <c r="G713" i="35"/>
  <c r="H713" i="35"/>
  <c r="I713" i="35"/>
  <c r="C720" i="35"/>
  <c r="F720" i="35"/>
  <c r="G721" i="35"/>
  <c r="E713" i="35"/>
  <c r="E710" i="35"/>
  <c r="E709" i="35"/>
  <c r="E729" i="35" s="1"/>
  <c r="E800" i="35" s="1"/>
  <c r="G720" i="35"/>
  <c r="H721" i="35"/>
  <c r="C709" i="35"/>
  <c r="C729" i="35" s="1"/>
  <c r="C800" i="35" s="1"/>
  <c r="E711" i="35"/>
  <c r="F710" i="35"/>
  <c r="H720" i="35"/>
  <c r="I112" i="35"/>
  <c r="I115" i="35"/>
  <c r="I108" i="35"/>
  <c r="I111" i="35"/>
  <c r="I158" i="35" s="1"/>
  <c r="I197" i="35" s="1"/>
  <c r="I104" i="35"/>
  <c r="I110" i="35"/>
  <c r="I156" i="35" s="1"/>
  <c r="I195" i="35" s="1"/>
  <c r="I114" i="35"/>
  <c r="I113" i="35"/>
  <c r="I109" i="35"/>
  <c r="I155" i="35" s="1"/>
  <c r="I194" i="35" s="1"/>
  <c r="I154" i="35" l="1"/>
  <c r="I193" i="35" s="1"/>
  <c r="C721" i="35"/>
  <c r="E721" i="35"/>
  <c r="F721" i="35"/>
  <c r="G710" i="35"/>
  <c r="H710" i="35"/>
  <c r="H712" i="35"/>
  <c r="I712" i="35"/>
  <c r="I721" i="35"/>
  <c r="I157" i="35"/>
  <c r="I196" i="35" s="1"/>
  <c r="C712" i="35"/>
  <c r="H714" i="35"/>
  <c r="E718" i="35"/>
  <c r="G714" i="35"/>
  <c r="I714" i="35"/>
  <c r="I718" i="35"/>
  <c r="C714" i="35"/>
  <c r="C717" i="35"/>
  <c r="C733" i="35" s="1"/>
  <c r="C804" i="35" s="1"/>
  <c r="C716" i="35"/>
  <c r="C732" i="35" s="1"/>
  <c r="C803" i="35" s="1"/>
  <c r="G717" i="35"/>
  <c r="G733" i="35" s="1"/>
  <c r="G804" i="35" s="1"/>
  <c r="C718" i="35"/>
  <c r="F712" i="35"/>
  <c r="C710" i="35"/>
  <c r="H718" i="35"/>
  <c r="G715" i="35"/>
  <c r="G731" i="35" s="1"/>
  <c r="G802" i="35" s="1"/>
  <c r="E715" i="35"/>
  <c r="E731" i="35" s="1"/>
  <c r="E802" i="35" s="1"/>
  <c r="G718" i="35"/>
  <c r="H716" i="35"/>
  <c r="H732" i="35" s="1"/>
  <c r="H803" i="35" s="1"/>
  <c r="F715" i="35"/>
  <c r="F731" i="35" s="1"/>
  <c r="F802" i="35" s="1"/>
  <c r="H715" i="35"/>
  <c r="H731" i="35" s="1"/>
  <c r="H802" i="35" s="1"/>
  <c r="I716" i="35"/>
  <c r="I732" i="35" s="1"/>
  <c r="I803" i="35" s="1"/>
  <c r="F718" i="35"/>
  <c r="F714" i="35"/>
  <c r="G712" i="35"/>
  <c r="G716" i="35"/>
  <c r="G732" i="35" s="1"/>
  <c r="G803" i="35" s="1"/>
  <c r="I720" i="35"/>
  <c r="I710" i="35"/>
  <c r="E714" i="35"/>
  <c r="E716" i="35"/>
  <c r="E732" i="35" s="1"/>
  <c r="E803" i="35" s="1"/>
  <c r="C715" i="35"/>
  <c r="C731" i="35" s="1"/>
  <c r="C802" i="35" s="1"/>
  <c r="I715" i="35"/>
  <c r="I731" i="35" s="1"/>
  <c r="I802" i="35" s="1"/>
  <c r="F716" i="35"/>
  <c r="F732" i="35" s="1"/>
  <c r="F803" i="35" s="1"/>
  <c r="I719" i="35"/>
  <c r="H717" i="35"/>
  <c r="H733" i="35" s="1"/>
  <c r="H804" i="35" s="1"/>
  <c r="C719" i="35"/>
  <c r="I717" i="35"/>
  <c r="I733" i="35" s="1"/>
  <c r="I804" i="35" s="1"/>
  <c r="F730" i="35" l="1"/>
  <c r="F801" i="35" s="1"/>
  <c r="C730" i="35"/>
  <c r="C801" i="35" s="1"/>
  <c r="C34" i="44"/>
  <c r="C734" i="35"/>
  <c r="C805" i="35" s="1"/>
  <c r="E712" i="35"/>
  <c r="E730" i="35" s="1"/>
  <c r="E801" i="35" s="1"/>
  <c r="E719" i="35"/>
  <c r="E734" i="35" s="1"/>
  <c r="E805" i="35" s="1"/>
  <c r="E717" i="35"/>
  <c r="E733" i="35" s="1"/>
  <c r="E804" i="35" s="1"/>
  <c r="F717" i="35"/>
  <c r="F733" i="35" s="1"/>
  <c r="F804" i="35" s="1"/>
  <c r="F719" i="35"/>
  <c r="F734" i="35" s="1"/>
  <c r="F805" i="35" s="1"/>
  <c r="G719" i="35"/>
  <c r="G734" i="35" s="1"/>
  <c r="G805" i="35" s="1"/>
  <c r="G730" i="35"/>
  <c r="G801" i="35" s="1"/>
  <c r="H719" i="35"/>
  <c r="H734" i="35" s="1"/>
  <c r="H805" i="35" s="1"/>
  <c r="H730" i="35"/>
  <c r="H801" i="35" s="1"/>
  <c r="I734" i="35"/>
  <c r="I805" i="35" s="1"/>
  <c r="I730" i="35"/>
  <c r="I801" i="35" s="1"/>
  <c r="J112" i="35" l="1"/>
  <c r="H110" i="35"/>
  <c r="H156" i="35" s="1"/>
  <c r="H195" i="35" s="1"/>
  <c r="H112" i="35"/>
  <c r="H106" i="35"/>
  <c r="J708" i="35" l="1"/>
  <c r="J728" i="35" s="1"/>
  <c r="J871" i="35"/>
  <c r="H103" i="35"/>
  <c r="H153" i="35" s="1"/>
  <c r="H192" i="35" s="1"/>
  <c r="H107" i="35"/>
  <c r="H114" i="35"/>
  <c r="AC379" i="35"/>
  <c r="AC380" i="35"/>
  <c r="AD379" i="35"/>
  <c r="AD380" i="35"/>
  <c r="J105" i="35"/>
  <c r="J108" i="35"/>
  <c r="H113" i="35"/>
  <c r="H109" i="35"/>
  <c r="H155" i="35" s="1"/>
  <c r="H194" i="35" s="1"/>
  <c r="J104" i="35"/>
  <c r="J111" i="35"/>
  <c r="J158" i="35" s="1"/>
  <c r="J197" i="35" s="1"/>
  <c r="H104" i="35"/>
  <c r="H111" i="35"/>
  <c r="H158" i="35" s="1"/>
  <c r="H197" i="35" s="1"/>
  <c r="J103" i="35"/>
  <c r="J153" i="35" s="1"/>
  <c r="J192" i="35" s="1"/>
  <c r="J107" i="35"/>
  <c r="J114" i="35"/>
  <c r="J110" i="35"/>
  <c r="J156" i="35" s="1"/>
  <c r="J195" i="35" s="1"/>
  <c r="AB379" i="35"/>
  <c r="AB380" i="35"/>
  <c r="H105" i="35"/>
  <c r="H108" i="35"/>
  <c r="J106" i="35"/>
  <c r="J113" i="35"/>
  <c r="J109" i="35"/>
  <c r="J155" i="35" s="1"/>
  <c r="J194" i="35" s="1"/>
  <c r="J736" i="35" l="1"/>
  <c r="J799" i="35"/>
  <c r="J806" i="35" s="1"/>
  <c r="J154" i="35"/>
  <c r="J193" i="35" s="1"/>
  <c r="H154" i="35"/>
  <c r="H193" i="35" s="1"/>
  <c r="AB381" i="35"/>
  <c r="AD378" i="35"/>
  <c r="AC378" i="35"/>
  <c r="E557" i="35" s="1"/>
  <c r="AC381" i="35"/>
  <c r="AB378" i="35"/>
  <c r="E556" i="35" s="1"/>
  <c r="H603" i="35"/>
  <c r="J115" i="35"/>
  <c r="J157" i="35" s="1"/>
  <c r="J196" i="35" s="1"/>
  <c r="AD381" i="35"/>
  <c r="I603" i="35"/>
  <c r="J603" i="35"/>
  <c r="AD377" i="35"/>
  <c r="G556" i="35" l="1"/>
  <c r="F556" i="35"/>
  <c r="G557" i="35"/>
  <c r="F557" i="35"/>
  <c r="I116" i="35"/>
  <c r="I102" i="35"/>
  <c r="I61" i="35"/>
  <c r="AB377" i="35"/>
  <c r="H115" i="35"/>
  <c r="H157" i="35" s="1"/>
  <c r="H196" i="35" s="1"/>
  <c r="AC377" i="35"/>
  <c r="I152" i="35" l="1"/>
  <c r="I159" i="35" s="1"/>
  <c r="I871" i="35"/>
  <c r="I708" i="35"/>
  <c r="I728" i="35" s="1"/>
  <c r="H1009" i="35"/>
  <c r="I1009" i="35"/>
  <c r="J1009" i="35"/>
  <c r="J61" i="35"/>
  <c r="H61" i="35"/>
  <c r="I736" i="35" l="1"/>
  <c r="I799" i="35"/>
  <c r="I806" i="35" s="1"/>
  <c r="I191" i="35"/>
  <c r="I198" i="35" s="1"/>
  <c r="I119" i="35"/>
  <c r="H871" i="35" l="1"/>
  <c r="H708" i="35"/>
  <c r="H728" i="35" s="1"/>
  <c r="I62" i="35"/>
  <c r="J116" i="35"/>
  <c r="J119" i="35" s="1"/>
  <c r="J102" i="35"/>
  <c r="I872" i="35"/>
  <c r="I723" i="35"/>
  <c r="H102" i="35"/>
  <c r="H116" i="35"/>
  <c r="H119" i="35" s="1"/>
  <c r="I383" i="35"/>
  <c r="J62" i="35"/>
  <c r="I118" i="35"/>
  <c r="I117" i="35"/>
  <c r="H736" i="35" l="1"/>
  <c r="H799" i="35"/>
  <c r="H806" i="35" s="1"/>
  <c r="J152" i="35"/>
  <c r="J159" i="35" s="1"/>
  <c r="H152" i="35"/>
  <c r="H62" i="35"/>
  <c r="AC382" i="35"/>
  <c r="AC383" i="35" s="1"/>
  <c r="S383" i="35"/>
  <c r="H723" i="35"/>
  <c r="H872" i="35"/>
  <c r="J117" i="35"/>
  <c r="J118" i="35"/>
  <c r="H117" i="35"/>
  <c r="H118" i="35"/>
  <c r="H383" i="35"/>
  <c r="T383" i="35"/>
  <c r="J383" i="35"/>
  <c r="J723" i="35"/>
  <c r="J872" i="35"/>
  <c r="J191" i="35" l="1"/>
  <c r="J198" i="35" s="1"/>
  <c r="H159" i="35"/>
  <c r="H191" i="35"/>
  <c r="H198" i="35" s="1"/>
  <c r="AD382" i="35"/>
  <c r="R383" i="35"/>
  <c r="AB382" i="35"/>
  <c r="AB383" i="35" s="1"/>
  <c r="AD383" i="35" l="1"/>
  <c r="C1214" i="35" l="1"/>
  <c r="C1264" i="35"/>
  <c r="D1166" i="35"/>
  <c r="D1116" i="35"/>
  <c r="C1116" i="35"/>
  <c r="D1214" i="35" l="1"/>
  <c r="D1264" i="35"/>
  <c r="D482" i="35" l="1"/>
  <c r="D480" i="35" l="1"/>
  <c r="D476" i="35"/>
  <c r="D478" i="35"/>
  <c r="D484" i="35"/>
  <c r="W380" i="35"/>
  <c r="E482" i="35" s="1"/>
  <c r="G103" i="35"/>
  <c r="G153" i="35" s="1"/>
  <c r="G192" i="35" s="1"/>
  <c r="G112" i="35"/>
  <c r="F482" i="35" l="1"/>
  <c r="G482" i="35" s="1"/>
  <c r="Z378" i="35"/>
  <c r="E554" i="35" s="1"/>
  <c r="W378" i="35"/>
  <c r="W381" i="35"/>
  <c r="E484" i="35" s="1"/>
  <c r="F484" i="35" s="1"/>
  <c r="G484" i="35" s="1"/>
  <c r="W379" i="35"/>
  <c r="E480" i="35" s="1"/>
  <c r="F480" i="35" s="1"/>
  <c r="Y378" i="35"/>
  <c r="E553" i="35" s="1"/>
  <c r="W377" i="35"/>
  <c r="E476" i="35" s="1"/>
  <c r="G105" i="35"/>
  <c r="G107" i="35"/>
  <c r="G108" i="35"/>
  <c r="G114" i="35"/>
  <c r="E478" i="35" l="1"/>
  <c r="F478" i="35" s="1"/>
  <c r="G478" i="35" s="1"/>
  <c r="E551" i="35"/>
  <c r="G553" i="35"/>
  <c r="F553" i="35"/>
  <c r="G554" i="35"/>
  <c r="F554" i="35"/>
  <c r="H482" i="35"/>
  <c r="H480" i="35"/>
  <c r="G480" i="35"/>
  <c r="F476" i="35"/>
  <c r="G476" i="35" s="1"/>
  <c r="H484" i="35"/>
  <c r="AA378" i="35"/>
  <c r="E555" i="35" s="1"/>
  <c r="G115" i="35"/>
  <c r="G113" i="35"/>
  <c r="G110" i="35"/>
  <c r="G156" i="35" s="1"/>
  <c r="G195" i="35" s="1"/>
  <c r="G106" i="35"/>
  <c r="G109" i="35"/>
  <c r="G155" i="35" s="1"/>
  <c r="G194" i="35" s="1"/>
  <c r="G111" i="35"/>
  <c r="G158" i="35" s="1"/>
  <c r="G197" i="35" s="1"/>
  <c r="G104" i="35"/>
  <c r="H478" i="35" l="1"/>
  <c r="G555" i="35"/>
  <c r="F555" i="35"/>
  <c r="G551" i="35"/>
  <c r="F551" i="35"/>
  <c r="G154" i="35"/>
  <c r="G193" i="35" s="1"/>
  <c r="H476" i="35"/>
  <c r="G157" i="35"/>
  <c r="G196" i="35" s="1"/>
  <c r="F708" i="35"/>
  <c r="F728" i="35" s="1"/>
  <c r="F871" i="35"/>
  <c r="E708" i="35"/>
  <c r="E728" i="35" s="1"/>
  <c r="E871" i="35"/>
  <c r="G61" i="35"/>
  <c r="E736" i="35" l="1"/>
  <c r="E799" i="35"/>
  <c r="E806" i="35" s="1"/>
  <c r="F736" i="35"/>
  <c r="F799" i="35"/>
  <c r="F806" i="35" s="1"/>
  <c r="G62" i="35"/>
  <c r="G102" i="35"/>
  <c r="G871" i="35" l="1"/>
  <c r="G708" i="35"/>
  <c r="G728" i="35" s="1"/>
  <c r="G116" i="35"/>
  <c r="G119" i="35" s="1"/>
  <c r="G118" i="35"/>
  <c r="G736" i="35" l="1"/>
  <c r="G799" i="35"/>
  <c r="G806" i="35" s="1"/>
  <c r="G152" i="35"/>
  <c r="G117" i="35"/>
  <c r="G159" i="35" l="1"/>
  <c r="G191" i="35"/>
  <c r="G198" i="35" s="1"/>
  <c r="M117" i="35" l="1"/>
  <c r="J961" i="35" l="1"/>
  <c r="G961" i="35" l="1"/>
  <c r="F961" i="35"/>
  <c r="E961" i="35"/>
  <c r="H961" i="35"/>
  <c r="D961" i="35"/>
  <c r="I961" i="35"/>
  <c r="C961" i="35"/>
  <c r="AA380" i="35" l="1"/>
  <c r="AA381" i="35"/>
  <c r="C114" i="35"/>
  <c r="C112" i="35"/>
  <c r="C107" i="35"/>
  <c r="C105" i="35"/>
  <c r="C103" i="35"/>
  <c r="C153" i="35" s="1"/>
  <c r="C192" i="35" s="1"/>
  <c r="C108" i="35"/>
  <c r="C104" i="35" l="1"/>
  <c r="C106" i="35"/>
  <c r="C111" i="35"/>
  <c r="C158" i="35" s="1"/>
  <c r="C197" i="35" s="1"/>
  <c r="AA379" i="35"/>
  <c r="G603" i="35"/>
  <c r="AA377" i="35"/>
  <c r="C109" i="35"/>
  <c r="C155" i="35" s="1"/>
  <c r="C194" i="35" s="1"/>
  <c r="C110" i="35"/>
  <c r="C156" i="35" s="1"/>
  <c r="C195" i="35" s="1"/>
  <c r="C154" i="35" l="1"/>
  <c r="C193" i="35" s="1"/>
  <c r="C113" i="35"/>
  <c r="C115" i="35"/>
  <c r="C603" i="35"/>
  <c r="C157" i="35" l="1"/>
  <c r="C196" i="35" s="1"/>
  <c r="AA382" i="35" l="1"/>
  <c r="AA383" i="35" s="1"/>
  <c r="G1009" i="35"/>
  <c r="G383" i="35"/>
  <c r="Q383" i="35" l="1"/>
  <c r="C1009" i="35"/>
  <c r="G872" i="35" l="1"/>
  <c r="G723" i="35"/>
  <c r="E105" i="35" l="1"/>
  <c r="E107" i="35"/>
  <c r="E108" i="35"/>
  <c r="E106" i="35" l="1"/>
  <c r="E109" i="35"/>
  <c r="E155" i="35" s="1"/>
  <c r="E194" i="35" s="1"/>
  <c r="E114" i="35"/>
  <c r="E112" i="35"/>
  <c r="E103" i="35"/>
  <c r="E153" i="35" s="1"/>
  <c r="E192" i="35" s="1"/>
  <c r="E110" i="35"/>
  <c r="E156" i="35" s="1"/>
  <c r="E195" i="35" s="1"/>
  <c r="E104" i="35" l="1"/>
  <c r="E154" i="35" s="1"/>
  <c r="E193" i="35" s="1"/>
  <c r="E113" i="35"/>
  <c r="E111" i="35"/>
  <c r="E158" i="35" s="1"/>
  <c r="E197" i="35" s="1"/>
  <c r="Y379" i="35"/>
  <c r="E603" i="35"/>
  <c r="Y380" i="35"/>
  <c r="Y377" i="35"/>
  <c r="E61" i="35"/>
  <c r="Y381" i="35" l="1"/>
  <c r="E115" i="35"/>
  <c r="E157" i="35" s="1"/>
  <c r="E196" i="35" s="1"/>
  <c r="E1009" i="35" l="1"/>
  <c r="Y382" i="35" l="1"/>
  <c r="Y383" i="35" s="1"/>
  <c r="E116" i="35"/>
  <c r="E119" i="35" s="1"/>
  <c r="E102" i="35"/>
  <c r="E383" i="35"/>
  <c r="E152" i="35" l="1"/>
  <c r="E159" i="35" s="1"/>
  <c r="E62" i="35"/>
  <c r="E118" i="35"/>
  <c r="E117" i="35"/>
  <c r="E723" i="35"/>
  <c r="E872" i="35"/>
  <c r="O383" i="35"/>
  <c r="E191" i="35" l="1"/>
  <c r="E198" i="35" s="1"/>
  <c r="F114" i="35" l="1"/>
  <c r="F112" i="35"/>
  <c r="F108" i="35"/>
  <c r="F107" i="35"/>
  <c r="F105" i="35"/>
  <c r="F103" i="35"/>
  <c r="F153" i="35" s="1"/>
  <c r="F192" i="35" s="1"/>
  <c r="F106" i="35" l="1"/>
  <c r="F104" i="35"/>
  <c r="F603" i="35"/>
  <c r="Z380" i="35"/>
  <c r="F110" i="35"/>
  <c r="F156" i="35" s="1"/>
  <c r="F195" i="35" s="1"/>
  <c r="F154" i="35" l="1"/>
  <c r="F193" i="35" s="1"/>
  <c r="F113" i="35"/>
  <c r="Z381" i="35" l="1"/>
  <c r="F61" i="35"/>
  <c r="F111" i="35"/>
  <c r="F158" i="35" s="1"/>
  <c r="F197" i="35" s="1"/>
  <c r="F115" i="35" l="1"/>
  <c r="F157" i="35" s="1"/>
  <c r="F196" i="35" s="1"/>
  <c r="Z377" i="35" l="1"/>
  <c r="F109" i="35"/>
  <c r="F155" i="35" s="1"/>
  <c r="F194" i="35" s="1"/>
  <c r="Z379" i="35" l="1"/>
  <c r="F1009" i="35" l="1"/>
  <c r="F102" i="35" l="1"/>
  <c r="F116" i="35"/>
  <c r="F119" i="35" s="1"/>
  <c r="F152" i="35" l="1"/>
  <c r="Z382" i="35"/>
  <c r="Z383" i="35" s="1"/>
  <c r="F118" i="35"/>
  <c r="F117" i="35"/>
  <c r="F383" i="35"/>
  <c r="F723" i="35"/>
  <c r="F872" i="35"/>
  <c r="F159" i="35" l="1"/>
  <c r="F191" i="35"/>
  <c r="F198" i="35" s="1"/>
  <c r="P383" i="35"/>
  <c r="F62" i="35"/>
  <c r="L104" i="35" l="1"/>
  <c r="L722" i="35"/>
  <c r="L113" i="35"/>
  <c r="L157" i="35" s="1"/>
  <c r="L196" i="35" s="1"/>
  <c r="V379" i="35"/>
  <c r="AF379" i="35" s="1"/>
  <c r="E481" i="35" s="1"/>
  <c r="V378" i="35"/>
  <c r="AF378" i="35" s="1"/>
  <c r="V377" i="35"/>
  <c r="L61" i="35"/>
  <c r="L719" i="35"/>
  <c r="L734" i="35" s="1"/>
  <c r="L805" i="35" s="1"/>
  <c r="L710" i="35"/>
  <c r="D560" i="35" l="1"/>
  <c r="D479" i="35"/>
  <c r="E479" i="35"/>
  <c r="E560" i="35"/>
  <c r="D481" i="35"/>
  <c r="D477" i="35"/>
  <c r="AF377" i="35"/>
  <c r="F479" i="35" l="1"/>
  <c r="G479" i="35" s="1"/>
  <c r="G560" i="35"/>
  <c r="F560" i="35"/>
  <c r="F481" i="35"/>
  <c r="H481" i="35" s="1"/>
  <c r="E477" i="35"/>
  <c r="F477" i="35" s="1"/>
  <c r="H479" i="35" l="1"/>
  <c r="L108" i="35"/>
  <c r="L154" i="35" s="1"/>
  <c r="L193" i="35" s="1"/>
  <c r="K952" i="35"/>
  <c r="K961" i="35" s="1"/>
  <c r="G481" i="35"/>
  <c r="H477" i="35"/>
  <c r="G477" i="35"/>
  <c r="L383" i="35"/>
  <c r="L111" i="35"/>
  <c r="L158" i="35" s="1"/>
  <c r="L197" i="35" s="1"/>
  <c r="L714" i="35" l="1"/>
  <c r="L730" i="35" s="1"/>
  <c r="L801" i="35" s="1"/>
  <c r="L159" i="35"/>
  <c r="L198" i="35"/>
  <c r="L717" i="35"/>
  <c r="L733" i="35" s="1"/>
  <c r="L804" i="35" s="1"/>
  <c r="L62" i="35"/>
  <c r="L119" i="35"/>
  <c r="D483" i="35"/>
  <c r="V383" i="35"/>
  <c r="AF380" i="35"/>
  <c r="L872" i="35"/>
  <c r="L118" i="35"/>
  <c r="L723" i="35" l="1"/>
  <c r="L736" i="35"/>
  <c r="L806" i="35"/>
  <c r="L117" i="35"/>
  <c r="AF383" i="35"/>
  <c r="E483" i="35"/>
  <c r="D523" i="44"/>
  <c r="C523" i="44"/>
  <c r="F524" i="44"/>
  <c r="F483" i="35" l="1"/>
  <c r="G483" i="35" s="1"/>
  <c r="E523" i="44"/>
  <c r="C498" i="44"/>
  <c r="H483" i="35" l="1"/>
  <c r="C145" i="44"/>
  <c r="C426" i="44"/>
  <c r="C32" i="44"/>
  <c r="C37" i="44" l="1"/>
  <c r="C33" i="44"/>
  <c r="D38" i="44" l="1"/>
  <c r="C31" i="44"/>
  <c r="H32" i="44" l="1"/>
  <c r="H31" i="44"/>
  <c r="H33" i="44" s="1"/>
  <c r="AH8" i="27"/>
  <c r="AH81" i="27" s="1"/>
  <c r="AG8" i="27" l="1"/>
  <c r="AG12" i="27" l="1"/>
  <c r="AC83" i="27" l="1"/>
  <c r="C61" i="35" s="1"/>
  <c r="A12" i="27"/>
  <c r="AG81" i="27"/>
  <c r="AA12" i="27" l="1"/>
  <c r="A81" i="27"/>
  <c r="C102" i="35" l="1"/>
  <c r="A82" i="27"/>
  <c r="C116" i="35"/>
  <c r="C119" i="35" s="1"/>
  <c r="C382" i="35"/>
  <c r="AA81" i="27"/>
  <c r="AC84" i="27" s="1"/>
  <c r="C62" i="35" s="1"/>
  <c r="C383" i="35" l="1"/>
  <c r="M382" i="35"/>
  <c r="W382" i="35" s="1"/>
  <c r="AA82" i="27"/>
  <c r="AC82" i="27" s="1"/>
  <c r="C871" i="35"/>
  <c r="C872" i="35" s="1"/>
  <c r="C708" i="35"/>
  <c r="C35" i="44"/>
  <c r="C38" i="44" s="1"/>
  <c r="H37" i="44" s="1"/>
  <c r="C117" i="35"/>
  <c r="C118" i="35"/>
  <c r="C152" i="35"/>
  <c r="W383" i="35" l="1"/>
  <c r="E486" i="35"/>
  <c r="H38" i="44"/>
  <c r="AG32" i="44"/>
  <c r="AH32" i="44"/>
  <c r="C723" i="35"/>
  <c r="C728" i="35"/>
  <c r="D486" i="35"/>
  <c r="M383" i="35"/>
  <c r="C191" i="35"/>
  <c r="C198" i="35" s="1"/>
  <c r="C159" i="35"/>
  <c r="H40" i="44" l="1"/>
  <c r="F486" i="35"/>
  <c r="G486" i="35" s="1"/>
  <c r="C799" i="35"/>
  <c r="C806" i="35" s="1"/>
  <c r="C736" i="35"/>
  <c r="H486"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Anders Michael Odgaard</author>
  </authors>
  <commentList>
    <comment ref="H958" authorId="0" shapeId="0" xr:uid="{00000000-0006-0000-0A00-000003000000}">
      <text>
        <r>
          <rPr>
            <b/>
            <sz val="9"/>
            <color indexed="81"/>
            <rFont val="Tahoma"/>
            <family val="2"/>
          </rPr>
          <t>Egetforbrug af varme (celle AF67) hos industrielle KV-værker.</t>
        </r>
        <r>
          <rPr>
            <sz val="9"/>
            <color indexed="81"/>
            <rFont val="Tahoma"/>
            <family val="2"/>
          </rPr>
          <t xml:space="preserve">
</t>
        </r>
      </text>
    </comment>
    <comment ref="D1206" authorId="0" shapeId="0" xr:uid="{A1A84FF9-C89F-4461-BC47-A55B3D2758A4}">
      <text>
        <r>
          <rPr>
            <b/>
            <sz val="9"/>
            <color indexed="81"/>
            <rFont val="Tahoma"/>
            <family val="2"/>
          </rPr>
          <t>Egetforbrug af varme (celle AI56) hos industrielle KV-værker.</t>
        </r>
      </text>
    </comment>
    <comment ref="D1251" authorId="0" shapeId="0" xr:uid="{33A5DAB3-467C-4782-A5F9-B927C3DDE8D4}">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tc={BF1F9CAA-CAB2-40C5-9494-F180ECFF1851}</author>
    <author>tc={291ED5FF-D4AF-4051-993E-4E010B9AC2AB}</author>
    <author>tc={20DEB1B2-CD3C-421C-886A-ADBA86E67440}</author>
    <author>tc={83D413C2-440F-4817-807B-04028D361547}</author>
  </authors>
  <commentList>
    <comment ref="C30" authorId="0" shapeId="0" xr:uid="{BF1F9CAA-CAB2-40C5-9494-F180ECFF1851}">
      <text>
        <t>[Trådet kommentar]
Din version af Excel lader dig læse denne trådede kommentar. Eventuelle ændringer vil dog blive fjernet, hvis filen åbnes i en nyere version af Excel. Få mere at vide: https://go.microsoft.com/fwlink/?linkid=870924
Kommentar:
    BEI, estimeret ud fra landstal i %</t>
      </text>
    </comment>
    <comment ref="D30" authorId="1" shapeId="0" xr:uid="{291ED5FF-D4AF-4051-993E-4E010B9AC2AB}">
      <text>
        <t>[Trådet kommentar]
Din version af Excel lader dig læse denne trådede kommentar. Eventuelle ændringer vil dog blive fjernet, hvis filen åbnes i en nyere version af Excel. Få mere at vide: https://go.microsoft.com/fwlink/?linkid=870924
Kommentar:
    MEI</t>
      </text>
    </comment>
    <comment ref="E30" authorId="2" shapeId="0" xr:uid="{20DEB1B2-CD3C-421C-886A-ADBA86E67440}">
      <text>
        <t>[Trådet kommentar]
Din version af Excel lader dig læse denne trådede kommentar. Eventuelle ændringer vil dog blive fjernet, hvis filen åbnes i en nyere version af Excel. Få mere at vide: https://go.microsoft.com/fwlink/?linkid=870924
Kommentar:
    MEI (2018-klimadata &amp; 2020-energidata)</t>
      </text>
    </comment>
    <comment ref="I30" authorId="3" shapeId="0" xr:uid="{83D413C2-440F-4817-807B-04028D361547}">
      <text>
        <t>[Trådet kommentar]
Din version af Excel lader dig læse denne trådede kommentar. Eventuelle ændringer vil dog blive fjernet, hvis filen åbnes i en nyere version af Excel. Få mere at vide: https://go.microsoft.com/fwlink/?linkid=870924
Kommentar:
    MEI (2018-klimadata &amp; 2020-energidata)</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V183" authorId="0" shapeId="0" xr:uid="{B625834B-3CCE-4120-BA08-BD0FA9C0D29F}">
      <text>
        <r>
          <rPr>
            <b/>
            <sz val="9"/>
            <color indexed="81"/>
            <rFont val="Tahoma"/>
            <family val="2"/>
          </rPr>
          <t>Forfatter:</t>
        </r>
        <r>
          <rPr>
            <sz val="9"/>
            <color indexed="81"/>
            <rFont val="Tahoma"/>
            <family val="2"/>
          </rPr>
          <t xml:space="preserve">
Bilag 2 indeholder CH4 emissioner fra vomgasser </t>
        </r>
      </text>
    </comment>
    <comment ref="V184" authorId="0" shapeId="0" xr:uid="{64F2E000-4029-4C02-8ECC-C8AAE80E6D4C}">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I203" authorId="0" shapeId="0" xr:uid="{B9CE72CC-505B-4201-AC3E-B3E11D164366}">
      <text>
        <r>
          <rPr>
            <b/>
            <sz val="9"/>
            <color indexed="81"/>
            <rFont val="Tahoma"/>
            <family val="2"/>
          </rPr>
          <t>Forfatter:</t>
        </r>
        <r>
          <rPr>
            <sz val="9"/>
            <color indexed="81"/>
            <rFont val="Tahoma"/>
            <family val="2"/>
          </rPr>
          <t xml:space="preserve">
Bilag 2 indeholder CH4 emissioner fra vomgasser </t>
        </r>
      </text>
    </comment>
    <comment ref="I204" authorId="0" shapeId="0" xr:uid="{935681C3-C7B0-448F-BC25-C60A6501B995}">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G187" authorId="0" shapeId="0" xr:uid="{F050BB2D-A6E7-453D-9857-2877BFFFF3A4}">
      <text>
        <r>
          <rPr>
            <b/>
            <sz val="9"/>
            <color indexed="81"/>
            <rFont val="Tahoma"/>
            <family val="2"/>
          </rPr>
          <t>Forfatter:</t>
        </r>
        <r>
          <rPr>
            <sz val="9"/>
            <color indexed="81"/>
            <rFont val="Tahoma"/>
            <family val="2"/>
          </rPr>
          <t xml:space="preserve">
Bilag 2 indeholder CH4 emissioner fra vomgasser </t>
        </r>
      </text>
    </comment>
    <comment ref="G188" authorId="0" shapeId="0" xr:uid="{F3DBE832-0085-4DA8-A26D-14626AA50C6F}">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<sst xmlns="http://schemas.openxmlformats.org/spreadsheetml/2006/main" count="2241" uniqueCount="674">
  <si>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</si>
  <si>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</si>
  <si>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</si>
  <si>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</si>
  <si>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</si>
  <si>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</si>
  <si>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</si>
  <si>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</si>
  <si>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</si>
  <si>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</si>
  <si>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</si>
  <si>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</si>
  <si>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</si>
  <si>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</si>
  <si>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</si>
  <si>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</si>
  <si>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</si>
  <si>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</si>
  <si>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</si>
  <si>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</si>
  <si>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</si>
  <si>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</si>
  <si>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</si>
  <si>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</si>
  <si>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</si>
  <si>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</si>
  <si>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</si>
  <si>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</si>
  <si>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</si>
  <si>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</si>
  <si>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</si>
  <si>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</si>
  <si>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</si>
  <si>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</si>
  <si>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</si>
  <si>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</si>
  <si>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</si>
  <si>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</si>
  <si>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</si>
  <si>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</si>
  <si>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</si>
  <si>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</si>
  <si>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</si>
  <si>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</si>
  <si>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</si>
  <si>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</si>
  <si>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</si>
  <si>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</si>
  <si>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</si>
  <si>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</si>
  <si>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</si>
  <si>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</si>
  <si>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</si>
  <si>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</si>
  <si>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</si>
  <si>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</si>
  <si>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</si>
  <si>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</si>
  <si>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</si>
  <si>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</si>
  <si>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</si>
  <si>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</si>
  <si>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</si>
  <si>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</si>
  <si>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</si>
  <si>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</si>
  <si>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</si>
  <si>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</si>
  <si>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</si>
  <si>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</si>
  <si>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</si>
  <si>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</si>
  <si>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</si>
  <si>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</si>
  <si>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</si>
  <si>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</si>
  <si>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</si>
  <si>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</si>
  <si>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</si>
  <si>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</si>
  <si>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</si>
  <si>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</si>
  <si>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</si>
  <si>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</si>
  <si>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</si>
  <si>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</si>
  <si>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</si>
  <si>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</si>
  <si>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</si>
  <si>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</si>
  <si>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</si>
  <si>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</si>
  <si>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</si>
  <si>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</si>
  <si>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</si>
  <si>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</si>
  <si>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</si>
  <si>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</si>
  <si>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</si>
  <si>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</si>
  <si>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</si>
  <si>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</si>
  <si>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</si>
  <si>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</si>
  <si>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</si>
  <si>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</si>
  <si>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</si>
  <si>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</si>
  <si>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</si>
  <si>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</si>
  <si>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</si>
  <si>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</si>
  <si>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</si>
  <si>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</si>
  <si>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</si>
  <si>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</si>
  <si>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</si>
  <si>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</si>
  <si>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</si>
  <si>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</si>
  <si>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</si>
  <si>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</si>
  <si>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</si>
  <si>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</si>
  <si>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</si>
  <si>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</si>
  <si>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</si>
  <si>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</si>
  <si>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</si>
  <si>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</si>
  <si>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</si>
  <si>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</si>
  <si>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</si>
  <si>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</si>
  <si>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</si>
  <si>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</si>
  <si>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</si>
  <si>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</si>
  <si>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</si>
  <si>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</si>
  <si>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</si>
  <si>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</si>
  <si>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</si>
  <si>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</si>
  <si>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</si>
  <si>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</si>
  <si>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</si>
  <si>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</si>
  <si>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</si>
  <si>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</si>
  <si>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</si>
  <si>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</si>
  <si>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</si>
  <si>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</si>
  <si>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</si>
  <si>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</si>
  <si>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</si>
  <si>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</si>
  <si>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</si>
  <si>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</si>
  <si>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</si>
  <si>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</si>
  <si>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</si>
  <si>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</si>
  <si>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</si>
  <si>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</si>
  <si>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</si>
  <si>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</si>
  <si>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</si>
  <si>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</si>
  <si>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</si>
  <si>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</si>
  <si>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</si>
  <si>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</si>
  <si>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</si>
  <si>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</si>
  <si>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</si>
  <si>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</si>
  <si>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</si>
  <si>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</si>
  <si>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</si>
  <si>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</si>
  <si>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</si>
  <si>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</si>
  <si>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</si>
  <si>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</si>
  <si>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</si>
  <si>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</si>
  <si>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</si>
  <si>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</si>
  <si>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</si>
  <si>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</si>
  <si>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</si>
  <si>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</si>
  <si>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</si>
  <si>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</si>
  <si>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</si>
  <si>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</si>
  <si>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</si>
  <si>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</si>
  <si>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</si>
  <si>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</si>
  <si>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</si>
  <si>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</si>
  <si>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</si>
  <si>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</si>
  <si>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</si>
  <si>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</si>
  <si>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</si>
  <si>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</si>
  <si>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</si>
  <si>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</si>
  <si>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</si>
  <si>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</si>
  <si>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</si>
  <si>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</si>
  <si>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</si>
  <si>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</si>
  <si>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</si>
  <si>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</si>
  <si>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</si>
  <si>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</si>
  <si>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</si>
  <si>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</si>
  <si>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</si>
  <si>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</si>
  <si>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</si>
  <si>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</si>
  <si>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</si>
  <si>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</si>
  <si>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</si>
  <si>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</si>
  <si>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</si>
  <si>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</si>
  <si>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</si>
  <si>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</si>
  <si>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</si>
  <si>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</si>
  <si>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</si>
  <si>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</si>
  <si>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</si>
  <si>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</si>
  <si>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</si>
  <si>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</si>
  <si>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</si>
  <si>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</si>
  <si>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</si>
  <si>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</si>
  <si>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</si>
  <si>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</si>
  <si>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</si>
  <si>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</si>
  <si>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</si>
  <si>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</si>
  <si>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</si>
  <si>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</si>
  <si>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</si>
  <si>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</si>
  <si>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</si>
  <si>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</si>
  <si>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</si>
  <si>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</si>
  <si>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</si>
  <si>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</si>
  <si>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</si>
  <si>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</si>
  <si>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</si>
  <si>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</si>
  <si>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</si>
  <si>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</si>
  <si>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</si>
  <si>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</si>
  <si>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</si>
  <si>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</si>
  <si>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</si>
  <si>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</si>
  <si>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</si>
  <si>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</si>
  <si>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</si>
  <si>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</si>
  <si>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</si>
  <si>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</si>
  <si>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</si>
  <si>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</si>
  <si>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</si>
  <si>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</si>
  <si>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</si>
  <si>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</si>
  <si>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</si>
  <si>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</si>
  <si>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</si>
  <si>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</si>
  <si>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</si>
  <si>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</si>
  <si>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</si>
  <si>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</si>
  <si>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</si>
  <si>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</si>
  <si>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</si>
  <si>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</si>
  <si>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</si>
  <si>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</si>
  <si>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</si>
  <si>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</si>
  <si>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</si>
  <si>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</si>
  <si>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</si>
  <si>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</si>
  <si>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</si>
  <si>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</si>
  <si>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</si>
  <si>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</si>
  <si>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</si>
  <si>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</si>
  <si>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</si>
  <si>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</si>
  <si>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</si>
  <si>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</si>
  <si>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</si>
  <si>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</si>
  <si>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</si>
  <si>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</si>
  <si>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</si>
  <si>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</si>
  <si>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</si>
  <si>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</si>
  <si>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</si>
  <si>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</si>
  <si>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</si>
  <si>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</si>
  <si>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</si>
  <si>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</si>
  <si>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</si>
  <si>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</si>
  <si>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</si>
  <si>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</si>
  <si>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</si>
  <si>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</si>
  <si>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</si>
  <si>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</si>
  <si>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</si>
  <si>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</si>
  <si>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</si>
  <si>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</si>
  <si>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</si>
  <si>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</si>
  <si>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</si>
  <si>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</si>
  <si>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</si>
  <si>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</si>
  <si>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</si>
  <si>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</si>
  <si>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</si>
  <si>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</si>
  <si>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</si>
  <si>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</si>
  <si>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</si>
  <si>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</si>
  <si>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</si>
  <si>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</si>
  <si>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</si>
  <si>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</si>
  <si>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</si>
  <si>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</si>
  <si>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</si>
  <si>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</si>
  <si>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</si>
  <si>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</si>
  <si>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</si>
  <si>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</si>
  <si>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</si>
  <si>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</si>
  <si>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</si>
  <si>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</si>
  <si>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</si>
  <si>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</si>
  <si>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</si>
  <si>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</si>
  <si>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</si>
  <si>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</si>
  <si>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</si>
  <si>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</si>
  <si>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</si>
  <si>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</si>
  <si>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</si>
  <si>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</si>
  <si>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</si>
  <si>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</si>
  <si>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</si>
  <si>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</si>
  <si>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</si>
  <si>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</si>
  <si>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</si>
  <si>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</si>
  <si>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</si>
  <si>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</si>
  <si>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</si>
  <si>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</si>
  <si>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</si>
  <si>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</si>
  <si>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</si>
  <si>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</si>
  <si>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</si>
  <si>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</si>
  <si>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</si>
  <si>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</si>
  <si>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</si>
  <si>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</si>
  <si>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</si>
  <si>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</si>
  <si>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</si>
  <si>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</si>
  <si>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</si>
  <si>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</si>
  <si>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</si>
  <si>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</si>
  <si>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</si>
  <si>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</si>
  <si>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</si>
  <si>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</si>
  <si>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</si>
  <si>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</si>
  <si>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</si>
  <si>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</si>
  <si>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</si>
  <si>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</si>
  <si>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</si>
  <si>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</si>
  <si>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</si>
  <si>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</si>
  <si>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</si>
  <si>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</si>
  <si>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</si>
  <si>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</si>
  <si>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</si>
  <si>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</si>
  <si>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</si>
  <si>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</si>
  <si>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</si>
  <si>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</si>
  <si>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</si>
  <si>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</si>
  <si>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</si>
  <si>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</si>
  <si>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</si>
  <si>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</si>
  <si>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</si>
  <si>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</si>
  <si>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</si>
  <si>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</si>
  <si>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</si>
  <si>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</si>
  <si>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</si>
  <si>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</si>
  <si>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</si>
  <si>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</si>
  <si>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</si>
  <si>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</si>
  <si>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</si>
  <si>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</si>
  <si>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</si>
  <si>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</si>
  <si>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</si>
  <si>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</si>
  <si>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</si>
  <si>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</si>
  <si>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</si>
  <si>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</si>
  <si>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</si>
  <si>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</si>
  <si>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</si>
  <si>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</si>
  <si>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</si>
  <si>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</si>
  <si>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</si>
  <si>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</si>
  <si>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</si>
  <si>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</si>
  <si>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</si>
  <si>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</si>
  <si>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</si>
  <si>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</si>
  <si>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</si>
  <si>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</si>
  <si>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</si>
  <si>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</si>
  <si>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</si>
  <si>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</si>
  <si>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</si>
  <si>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</si>
  <si>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</si>
  <si>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</si>
  <si>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</si>
  <si>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</si>
  <si>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</si>
  <si>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</si>
  <si>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</si>
  <si>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</si>
  <si>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</si>
  <si>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</si>
  <si>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</si>
  <si>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</si>
  <si>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</si>
  <si>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</si>
  <si>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</si>
  <si>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</si>
  <si>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</si>
  <si>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</si>
  <si>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</si>
  <si>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</si>
  <si>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</si>
  <si>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</si>
  <si>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</si>
  <si>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</si>
  <si>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</si>
  <si>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</si>
  <si>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</si>
  <si>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</si>
  <si>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</si>
  <si>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</si>
  <si>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</si>
  <si>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</si>
  <si>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</si>
  <si>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</si>
  <si>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</si>
  <si>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</si>
  <si>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</si>
  <si>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</si>
  <si>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</si>
  <si>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</si>
  <si>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</si>
  <si>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</si>
  <si>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</si>
  <si>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</si>
  <si>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</si>
  <si>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</si>
  <si>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</si>
  <si>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</si>
  <si>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</si>
  <si>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</si>
  <si>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</si>
  <si>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</si>
  <si>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</si>
  <si>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</si>
  <si>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</si>
  <si>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</si>
  <si>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</si>
  <si>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</si>
  <si>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</si>
  <si>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</si>
  <si>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</si>
  <si>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</si>
  <si>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</si>
  <si>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</si>
  <si>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</si>
  <si>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</si>
  <si>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</si>
  <si>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</si>
  <si>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</si>
  <si>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</si>
  <si>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</si>
  <si>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</si>
  <si>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</si>
  <si>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</si>
  <si>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</si>
  <si>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</si>
  <si>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</si>
  <si>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</si>
  <si>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</si>
  <si>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</si>
  <si>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</si>
  <si>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</si>
  <si>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</si>
  <si>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</si>
  <si>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</si>
  <si>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</si>
  <si>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</si>
  <si>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</si>
  <si>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</si>
  <si>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</si>
  <si>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</si>
  <si>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</si>
  <si>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</si>
  <si>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</si>
  <si>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</si>
  <si>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</si>
  <si>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</si>
  <si>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</si>
  <si>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</si>
  <si>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</si>
  <si>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</si>
  <si>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</si>
  <si>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</si>
  <si>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</si>
  <si>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</si>
  <si>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</si>
  <si>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</si>
  <si>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</si>
  <si>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</si>
  <si>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</si>
  <si>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</si>
  <si>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</si>
  <si>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</si>
  <si>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</si>
  <si>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</si>
  <si>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</si>
  <si>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</si>
  <si>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</si>
  <si>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</si>
  <si>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</si>
  <si>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</si>
  <si>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4</t>
    </r>
    <r>
      <rPr>
        <sz val="11"/>
        <color theme="1"/>
        <rFont val="Calibri"/>
        <family val="2"/>
        <scheme val="minor"/>
      </rPr>
      <t/>
    </r>
  </si>
  <si>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</si>
  <si>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</si>
  <si>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</si>
  <si>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</si>
  <si>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</si>
  <si>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</si>
  <si>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</si>
  <si>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</si>
  <si>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</si>
  <si>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</si>
  <si>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</si>
  <si>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</si>
  <si>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</si>
  <si>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</si>
  <si>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</si>
  <si>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</si>
  <si>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</si>
  <si>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</si>
  <si>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</si>
  <si>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</si>
  <si>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</si>
  <si>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</si>
  <si>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</si>
  <si>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</si>
  <si>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</si>
  <si>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</si>
  <si>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</si>
  <si>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</si>
  <si>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</si>
  <si>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</si>
  <si>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</si>
  <si>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</si>
  <si>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</si>
  <si>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</si>
  <si>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</si>
  <si>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</si>
  <si>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</si>
  <si>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</si>
  <si>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</si>
  <si>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</si>
  <si>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</si>
  <si>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</si>
  <si>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</si>
  <si>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</si>
  <si>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</si>
  <si>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</si>
  <si>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2018/2020</t>
  </si>
  <si>
    <t>2018-tal</t>
  </si>
  <si>
    <t>2020-tal</t>
  </si>
  <si>
    <t>Manglende reduktion 2020</t>
  </si>
  <si>
    <t>Skive Kommune 2020</t>
  </si>
  <si>
    <t>Skive Kommune 2018</t>
  </si>
  <si>
    <t>Skive Kommune 2017</t>
  </si>
  <si>
    <t>Skive Kommune 2015</t>
  </si>
  <si>
    <t>Skive Kommune 2013</t>
  </si>
  <si>
    <t>Skive Kommune 2011</t>
  </si>
  <si>
    <t>Skive Kommune 2009</t>
  </si>
  <si>
    <t>Skive Kommune 2007</t>
  </si>
  <si>
    <t>Skive Kommune 1990</t>
  </si>
  <si>
    <t>Tog, lokaltog, diesel/gas</t>
  </si>
  <si>
    <t>Tog, fjerntog, diesel</t>
  </si>
  <si>
    <t>Tog, fjerntog, 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</si>
</sst>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799">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9" fillId="0" borderId="47" xfId="3" applyFont="1" applyFill="1" applyBorder="1" applyAlignment="1">
      <alignment horizontal="center"/>
    </xf>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3" fontId="9" fillId="4" borderId="47"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 xfId="3" applyNumberFormat="1" applyFill="1" applyBorder="1" applyAlignment="1">
      <alignment vertical="center"/>
    </xf>
    <xf numFmtId="1" fontId="7" fillId="0" borderId="16" xfId="3" applyNumberFormat="1" applyFill="1" applyBorder="1" applyAlignment="1">
      <alignment vertical="center"/>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1" fontId="16" fillId="2" borderId="43" xfId="3" applyNumberFormat="1" applyFont="1" applyFill="1" applyBorder="1" applyAlignment="1">
      <alignment horizont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xr:uid="{572C924D-91FB-4FB2-B857-9D80D8D507E7}"/>
    <cellStyle name="40 % - Farve6" xfId="29" builtinId="51"/>
    <cellStyle name="40 % - Farve6 2" xfId="34" xr:uid="{6E98B263-9F99-4E23-8D4A-013A6FE706F4}"/>
    <cellStyle name="God" xfId="27" builtinId="26"/>
    <cellStyle name="Komma" xfId="7" builtinId="3"/>
    <cellStyle name="Komma 2" xfId="2" xr:uid="{00000000-0005-0000-0000-000001000000}"/>
    <cellStyle name="Komma 2 2" xfId="10" xr:uid="{00000000-0005-0000-0000-000002000000}"/>
    <cellStyle name="Komma 2 3" xfId="8" xr:uid="{00000000-0005-0000-0000-000003000000}"/>
    <cellStyle name="Komma 3" xfId="5" xr:uid="{00000000-0005-0000-0000-000004000000}"/>
    <cellStyle name="Komma 3 2" xfId="23" xr:uid="{00000000-0005-0000-0000-000005000000}"/>
    <cellStyle name="Komma 4" xfId="9" xr:uid="{00000000-0005-0000-0000-000006000000}"/>
    <cellStyle name="Komma 5" xfId="22" xr:uid="{00000000-0005-0000-0000-000007000000}"/>
    <cellStyle name="Normal" xfId="0" builtinId="0"/>
    <cellStyle name="Normal 10" xfId="33" xr:uid="{95196580-5869-4A39-8CB6-35F935D0AC87}"/>
    <cellStyle name="Normal 2" xfId="1" xr:uid="{00000000-0005-0000-0000-000009000000}"/>
    <cellStyle name="Normal 2 2" xfId="3" xr:uid="{00000000-0005-0000-0000-00000A000000}"/>
    <cellStyle name="Normal 2 2 2" xfId="11" xr:uid="{00000000-0005-0000-0000-00000B000000}"/>
    <cellStyle name="Normal 2 3" xfId="12" xr:uid="{00000000-0005-0000-0000-00000C000000}"/>
    <cellStyle name="Normal 23" xfId="26" xr:uid="{3331C10D-ACDF-403C-8B96-4FB970AF99DF}"/>
    <cellStyle name="Normal 3" xfId="6" xr:uid="{00000000-0005-0000-0000-00000D000000}"/>
    <cellStyle name="Normal 3 2" xfId="13" xr:uid="{00000000-0005-0000-0000-00000E000000}"/>
    <cellStyle name="Normal 3 3" xfId="14" xr:uid="{00000000-0005-0000-0000-00000F000000}"/>
    <cellStyle name="Normal 4" xfId="15" xr:uid="{00000000-0005-0000-0000-000010000000}"/>
    <cellStyle name="Normal 4 2" xfId="16" xr:uid="{00000000-0005-0000-0000-000011000000}"/>
    <cellStyle name="Normal 4 3" xfId="32" xr:uid="{4E88EC22-FC62-479B-AAED-395533FD4C0E}"/>
    <cellStyle name="Normal 5" xfId="17" xr:uid="{00000000-0005-0000-0000-000012000000}"/>
    <cellStyle name="Normal 6" xfId="18" xr:uid="{00000000-0005-0000-0000-000013000000}"/>
    <cellStyle name="Normal 7" xfId="19" xr:uid="{00000000-0005-0000-0000-000014000000}"/>
    <cellStyle name="Normal 8" xfId="21" xr:uid="{00000000-0005-0000-0000-000015000000}"/>
    <cellStyle name="Normal 9" xfId="30" xr:uid="{1E7D1EF5-1B52-4D9E-871D-97B3F9B366E5}"/>
    <cellStyle name="Procent 2" xfId="4" xr:uid="{00000000-0005-0000-0000-000017000000}"/>
    <cellStyle name="Procent 3" xfId="20" xr:uid="{00000000-0005-0000-0000-000018000000}"/>
    <cellStyle name="Procent 4" xfId="24" xr:uid="{00000000-0005-0000-0000-000019000000}"/>
    <cellStyle name="Procent 5" xfId="31" xr:uid="{365D6E91-29EA-45F4-BD1C-FD429FEF2F97}"/>
    <cellStyle name="Ugyldig" xfId="28" builtinId="27"/>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'Grafer-energi'!$C$708:$L$708</c:f>
              <c:numCache>
                <c:formatCode>#,##0</c:formatCode>
                <c:ptCount val="10"/>
                <c:pt idx="0">
                  <c:v>168.72266314296658</c:v>
                </c:pt>
                <c:pt idx="2">
                  <c:v>7.8176747279763186</c:v>
                </c:pt>
                <c:pt idx="3">
                  <c:v>91.338846779918754</c:v>
                </c:pt>
                <c:pt idx="4">
                  <c:v>49.240353014827917</c:v>
                </c:pt>
                <c:pt idx="5">
                  <c:v>24.193538388773263</c:v>
                </c:pt>
                <c:pt idx="6">
                  <c:v>-32.884766621295149</c:v>
                </c:pt>
                <c:pt idx="7">
                  <c:v>-20.949253687868911</c:v>
                </c:pt>
                <c:pt idx="8">
                  <c:v>-16.382062393039238</c:v>
                </c:pt>
                <c:pt idx="9">
                  <c:v>-1.8042995758085667</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'Grafer-energi'!$C$709:$L$709</c:f>
              <c:numCache>
                <c:formatCode>#,##0</c:formatCode>
                <c:ptCount val="10"/>
                <c:pt idx="0">
                  <c:v>24.812279999999998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'Grafer-energi'!$C$710:$L$710</c:f>
              <c:numCache>
                <c:formatCode>#,##0</c:formatCode>
                <c:ptCount val="10"/>
                <c:pt idx="0">
                  <c:v>44.131777999999997</c:v>
                </c:pt>
                <c:pt idx="2">
                  <c:v>85.40881163088801</c:v>
                </c:pt>
                <c:pt idx="3">
                  <c:v>72.62499600000001</c:v>
                </c:pt>
                <c:pt idx="4">
                  <c:v>80.202582000000021</c:v>
                </c:pt>
                <c:pt idx="5">
                  <c:v>68.045436000000009</c:v>
                </c:pt>
                <c:pt idx="6">
                  <c:v>52.451224300388731</c:v>
                </c:pt>
                <c:pt idx="7">
                  <c:v>54.189805958131018</c:v>
                </c:pt>
                <c:pt idx="8">
                  <c:v>53.373423135356667</c:v>
                </c:pt>
                <c:pt idx="9">
                  <c:v>-9.0221270821060475</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'Grafer-energi'!$C$711:$L$711</c:f>
              <c:numCache>
                <c:formatCode>#,##0</c:formatCode>
                <c:ptCount val="10"/>
                <c:pt idx="0">
                  <c:v>17.094189000000004</c:v>
                </c:pt>
                <c:pt idx="2">
                  <c:v>0.76659100000000002</c:v>
                </c:pt>
                <c:pt idx="3">
                  <c:v>12.96092</c:v>
                </c:pt>
                <c:pt idx="4">
                  <c:v>12.731733000000002</c:v>
                </c:pt>
                <c:pt idx="5">
                  <c:v>11.080005999999999</c:v>
                </c:pt>
                <c:pt idx="6">
                  <c:v>10.700661999999999</c:v>
                </c:pt>
                <c:pt idx="7">
                  <c:v>0.68756099999999987</c:v>
                </c:pt>
                <c:pt idx="8">
                  <c:v>0</c:v>
                </c:pt>
                <c:pt idx="9">
                  <c:v>0.30031400000000003</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'Grafer-energi'!$C$712:$L$712</c:f>
              <c:numCache>
                <c:formatCode>#,##0</c:formatCode>
                <c:ptCount val="10"/>
                <c:pt idx="0">
                  <c:v>239.82178440161178</c:v>
                </c:pt>
                <c:pt idx="2">
                  <c:v>167.7013777070099</c:v>
                </c:pt>
                <c:pt idx="3">
                  <c:v>155.00790130928499</c:v>
                </c:pt>
                <c:pt idx="4">
                  <c:v>146.67861005967055</c:v>
                </c:pt>
                <c:pt idx="5">
                  <c:v>123.69994174039374</c:v>
                </c:pt>
                <c:pt idx="6">
                  <c:v>119.64272685676676</c:v>
                </c:pt>
                <c:pt idx="7">
                  <c:v>110.14889409308681</c:v>
                </c:pt>
                <c:pt idx="8">
                  <c:v>105.09513282819582</c:v>
                </c:pt>
                <c:pt idx="9">
                  <c:v>90.393323866176075</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'Grafer-energi'!$C$713:$L$713</c:f>
              <c:numCache>
                <c:formatCode>#,##0</c:formatCode>
                <c:ptCount val="10"/>
                <c:pt idx="0">
                  <c:v>19.291679999999999</c:v>
                </c:pt>
                <c:pt idx="2">
                  <c:v>25.956</c:v>
                </c:pt>
                <c:pt idx="3">
                  <c:v>22.269600000000001</c:v>
                </c:pt>
                <c:pt idx="4">
                  <c:v>23.724</c:v>
                </c:pt>
                <c:pt idx="5">
                  <c:v>22.658399999999997</c:v>
                </c:pt>
                <c:pt idx="6">
                  <c:v>23.097600000000003</c:v>
                </c:pt>
                <c:pt idx="7">
                  <c:v>25.394399999999997</c:v>
                </c:pt>
                <c:pt idx="8">
                  <c:v>25.956</c:v>
                </c:pt>
                <c:pt idx="9">
                  <c:v>9.1461600000000001</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'Grafer-energi'!$C$714:$L$714</c:f>
              <c:numCache>
                <c:formatCode>#,##0</c:formatCode>
                <c:ptCount val="10"/>
                <c:pt idx="0">
                  <c:v>54.463991403276665</c:v>
                </c:pt>
                <c:pt idx="2">
                  <c:v>50.740128384093452</c:v>
                </c:pt>
                <c:pt idx="3">
                  <c:v>46.455706599633203</c:v>
                </c:pt>
                <c:pt idx="4">
                  <c:v>41.15665682167127</c:v>
                </c:pt>
                <c:pt idx="5">
                  <c:v>35.855403022259367</c:v>
                </c:pt>
                <c:pt idx="6">
                  <c:v>35.647586526741954</c:v>
                </c:pt>
                <c:pt idx="7">
                  <c:v>34.498780463240536</c:v>
                </c:pt>
                <c:pt idx="8">
                  <c:v>32.580894732172602</c:v>
                </c:pt>
                <c:pt idx="9">
                  <c:v>28.968457176961699</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'Grafer-energi'!$C$715:$L$715</c:f>
              <c:numCache>
                <c:formatCode>#,##0</c:formatCode>
                <c:ptCount val="10"/>
                <c:pt idx="0">
                  <c:v>1.8425501999999998</c:v>
                </c:pt>
                <c:pt idx="2">
                  <c:v>0</c:v>
                </c:pt>
                <c:pt idx="3">
                  <c:v>0</c:v>
                </c:pt>
                <c:pt idx="4">
                  <c:v>0</c:v>
                </c:pt>
                <c:pt idx="5">
                  <c:v>0</c:v>
                </c:pt>
                <c:pt idx="6">
                  <c:v>0</c:v>
                </c:pt>
                <c:pt idx="7">
                  <c:v>9.444000000000001E-3</c:v>
                </c:pt>
                <c:pt idx="8">
                  <c:v>0</c:v>
                </c:pt>
                <c:pt idx="9">
                  <c:v>0</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'Grafer-energi'!$C$722:$L$722</c:f>
              <c:numCache>
                <c:formatCode>#,##0</c:formatCode>
                <c:ptCount val="10"/>
                <c:pt idx="0">
                  <c:v>0</c:v>
                </c:pt>
                <c:pt idx="2">
                  <c:v>0</c:v>
                </c:pt>
                <c:pt idx="3">
                  <c:v>0</c:v>
                </c:pt>
                <c:pt idx="4">
                  <c:v>0</c:v>
                </c:pt>
                <c:pt idx="5">
                  <c:v>0</c:v>
                </c:pt>
                <c:pt idx="6">
                  <c:v>0</c:v>
                </c:pt>
                <c:pt idx="7">
                  <c:v>0</c:v>
                </c:pt>
                <c:pt idx="8">
                  <c:v>0</c:v>
                </c:pt>
                <c:pt idx="9">
                  <c:v>-10.369319082106047</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c:ext uri="{02D57815-91ED-43cb-92C2-25804820EDAC}">
                        <c15:formulaRef>
                          <c15:sqref>'Grafer-energi'!$C$716:$L$716</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'Grafer-energi'!$C$717:$L$717</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'Grafer-energi'!$C$718:$L$718</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'Grafer-energi'!$C$719:$L$719</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'Grafer-energi'!$C$720:$L$720</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'Grafer-energi'!$C$721:$L$721</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'Grafer-energi'!$C$118:$L$118</c:f>
              <c:numCache>
                <c:formatCode>#,##0</c:formatCode>
                <c:ptCount val="10"/>
                <c:pt idx="0">
                  <c:v>6225.0521546760019</c:v>
                </c:pt>
                <c:pt idx="2">
                  <c:v>4860.252341921152</c:v>
                </c:pt>
                <c:pt idx="3">
                  <c:v>4852.879505464889</c:v>
                </c:pt>
                <c:pt idx="4">
                  <c:v>4637.4757316210453</c:v>
                </c:pt>
                <c:pt idx="5">
                  <c:v>3912.2452821852967</c:v>
                </c:pt>
                <c:pt idx="6">
                  <c:v>3320.1943242851362</c:v>
                </c:pt>
                <c:pt idx="7">
                  <c:v>3174.0485355726828</c:v>
                </c:pt>
                <c:pt idx="8">
                  <c:v>3084.7738045599649</c:v>
                </c:pt>
                <c:pt idx="9">
                  <c:v>1571.9561746410382</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'Grafer-energi'!$C$119:$L$119</c:f>
              <c:numCache>
                <c:formatCode>#,##0</c:formatCode>
                <c:ptCount val="10"/>
                <c:pt idx="0">
                  <c:v>807.00999999999988</c:v>
                </c:pt>
                <c:pt idx="2">
                  <c:v>2368.8237764736446</c:v>
                </c:pt>
                <c:pt idx="3">
                  <c:v>2917.8402421828605</c:v>
                </c:pt>
                <c:pt idx="4">
                  <c:v>2899.1312055856188</c:v>
                </c:pt>
                <c:pt idx="5">
                  <c:v>3218.8303379656859</c:v>
                </c:pt>
                <c:pt idx="6">
                  <c:v>3359.3159499915637</c:v>
                </c:pt>
                <c:pt idx="7">
                  <c:v>3235.4514211568671</c:v>
                </c:pt>
                <c:pt idx="8">
                  <c:v>3147.9394678750859</c:v>
                </c:pt>
                <c:pt idx="9">
                  <c:v>4519.9922063502854</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'Grafer-energi'!$C$102:$L$102</c:f>
              <c:numCache>
                <c:formatCode>#,##0</c:formatCode>
                <c:ptCount val="10"/>
                <c:pt idx="0">
                  <c:v>708.91875270154026</c:v>
                </c:pt>
                <c:pt idx="2">
                  <c:v>31.427483210167235</c:v>
                </c:pt>
                <c:pt idx="3">
                  <c:v>373.32545140787096</c:v>
                </c:pt>
                <c:pt idx="4">
                  <c:v>198.61749028819349</c:v>
                </c:pt>
                <c:pt idx="5">
                  <c:v>101.31044200298803</c:v>
                </c:pt>
                <c:pt idx="6">
                  <c:v>-159.83204799871604</c:v>
                </c:pt>
                <c:pt idx="7">
                  <c:v>-94.434068192701545</c:v>
                </c:pt>
                <c:pt idx="8">
                  <c:v>-73.911979859023305</c:v>
                </c:pt>
                <c:pt idx="9">
                  <c:v>-9.607644505442261</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'Grafer-energi'!$C$103:$L$103</c:f>
              <c:numCache>
                <c:formatCode>#,##0</c:formatCode>
                <c:ptCount val="10"/>
                <c:pt idx="0">
                  <c:v>263.39999999999998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'Grafer-energi'!$C$104:$L$104</c:f>
              <c:numCache>
                <c:formatCode>#,##0</c:formatCode>
                <c:ptCount val="10"/>
                <c:pt idx="0">
                  <c:v>763.54</c:v>
                </c:pt>
                <c:pt idx="2">
                  <c:v>1500.3781196</c:v>
                </c:pt>
                <c:pt idx="3">
                  <c:v>1278</c:v>
                </c:pt>
                <c:pt idx="4">
                  <c:v>1405.0000000000002</c:v>
                </c:pt>
                <c:pt idx="5">
                  <c:v>1195.5</c:v>
                </c:pt>
                <c:pt idx="6">
                  <c:v>920.89157070591182</c:v>
                </c:pt>
                <c:pt idx="7">
                  <c:v>947.90677119528095</c:v>
                </c:pt>
                <c:pt idx="8">
                  <c:v>933.58426553257311</c:v>
                </c:pt>
                <c:pt idx="9">
                  <c:v>-165.97727453361037</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'Grafer-energi'!$C$105:$L$105</c:f>
              <c:numCache>
                <c:formatCode>#,##0</c:formatCode>
                <c:ptCount val="10"/>
                <c:pt idx="0">
                  <c:v>216.3</c:v>
                </c:pt>
                <c:pt idx="2">
                  <c:v>9.6999999999999993</c:v>
                </c:pt>
                <c:pt idx="3">
                  <c:v>164</c:v>
                </c:pt>
                <c:pt idx="4">
                  <c:v>161.10000000000002</c:v>
                </c:pt>
                <c:pt idx="5">
                  <c:v>140.19999999999999</c:v>
                </c:pt>
                <c:pt idx="6">
                  <c:v>135.4</c:v>
                </c:pt>
                <c:pt idx="7">
                  <c:v>8.6999999999999993</c:v>
                </c:pt>
                <c:pt idx="8">
                  <c:v>0</c:v>
                </c:pt>
                <c:pt idx="9">
                  <c:v>3.8000000000000003</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'Grafer-energi'!$C$106:$L$106</c:f>
              <c:numCache>
                <c:formatCode>#,##0</c:formatCode>
                <c:ptCount val="10"/>
                <c:pt idx="0">
                  <c:v>3236.4613279569739</c:v>
                </c:pt>
                <c:pt idx="2">
                  <c:v>2263.1764872740878</c:v>
                </c:pt>
                <c:pt idx="3">
                  <c:v>2091.8745115962888</c:v>
                </c:pt>
                <c:pt idx="4">
                  <c:v>1979.4684218579023</c:v>
                </c:pt>
                <c:pt idx="5">
                  <c:v>1669.3649357677969</c:v>
                </c:pt>
                <c:pt idx="6">
                  <c:v>1614.6116984718863</c:v>
                </c:pt>
                <c:pt idx="7">
                  <c:v>1486.4897988270827</c:v>
                </c:pt>
                <c:pt idx="8">
                  <c:v>1418.2878924182971</c:v>
                </c:pt>
                <c:pt idx="9">
                  <c:v>1219.8829131737664</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'Grafer-energi'!$C$107:$L$107</c:f>
              <c:numCache>
                <c:formatCode>#,##0</c:formatCode>
                <c:ptCount val="10"/>
                <c:pt idx="0">
                  <c:v>267.94</c:v>
                </c:pt>
                <c:pt idx="2">
                  <c:v>360.5</c:v>
                </c:pt>
                <c:pt idx="3">
                  <c:v>309.3</c:v>
                </c:pt>
                <c:pt idx="4">
                  <c:v>329.5</c:v>
                </c:pt>
                <c:pt idx="5">
                  <c:v>314.7</c:v>
                </c:pt>
                <c:pt idx="6">
                  <c:v>320.8</c:v>
                </c:pt>
                <c:pt idx="7">
                  <c:v>352.7</c:v>
                </c:pt>
                <c:pt idx="8">
                  <c:v>360.5</c:v>
                </c:pt>
                <c:pt idx="9">
                  <c:v>127.03</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'Grafer-energi'!$C$108:$L$108</c:f>
              <c:numCache>
                <c:formatCode>#,##0</c:formatCode>
                <c:ptCount val="10"/>
                <c:pt idx="0">
                  <c:v>746.08207401748859</c:v>
                </c:pt>
                <c:pt idx="2">
                  <c:v>695.07025183689666</c:v>
                </c:pt>
                <c:pt idx="3">
                  <c:v>636.37954246072877</c:v>
                </c:pt>
                <c:pt idx="4">
                  <c:v>563.7898194749489</c:v>
                </c:pt>
                <c:pt idx="5">
                  <c:v>491.16990441451185</c:v>
                </c:pt>
                <c:pt idx="6">
                  <c:v>488.32310310605413</c:v>
                </c:pt>
                <c:pt idx="7">
                  <c:v>472.58603374302106</c:v>
                </c:pt>
                <c:pt idx="8">
                  <c:v>446.31362646811783</c:v>
                </c:pt>
                <c:pt idx="9">
                  <c:v>396.82818050632466</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'Grafer-energi'!$C$109:$L$109</c:f>
              <c:numCache>
                <c:formatCode>#,##0</c:formatCode>
                <c:ptCount val="10"/>
                <c:pt idx="0">
                  <c:v>22.41</c:v>
                </c:pt>
                <c:pt idx="2">
                  <c:v>0</c:v>
                </c:pt>
                <c:pt idx="3">
                  <c:v>0</c:v>
                </c:pt>
                <c:pt idx="4">
                  <c:v>0</c:v>
                </c:pt>
                <c:pt idx="5">
                  <c:v>0</c:v>
                </c:pt>
                <c:pt idx="6">
                  <c:v>0</c:v>
                </c:pt>
                <c:pt idx="7">
                  <c:v>0.1</c:v>
                </c:pt>
                <c:pt idx="8">
                  <c:v>0</c:v>
                </c:pt>
                <c:pt idx="9">
                  <c:v>0</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'Grafer-energi'!$C$110:$L$110</c:f>
              <c:numCache>
                <c:formatCode>#,##0</c:formatCode>
                <c:ptCount val="10"/>
                <c:pt idx="0">
                  <c:v>27.39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'Grafer-energi'!$C$111:$L$111</c:f>
              <c:numCache>
                <c:formatCode>#,##0</c:formatCode>
                <c:ptCount val="10"/>
                <c:pt idx="0">
                  <c:v>686.45999999999992</c:v>
                </c:pt>
                <c:pt idx="2">
                  <c:v>1629.3887770867709</c:v>
                </c:pt>
                <c:pt idx="3">
                  <c:v>2252.040177489192</c:v>
                </c:pt>
                <c:pt idx="4">
                  <c:v>2079.8560851392676</c:v>
                </c:pt>
                <c:pt idx="5">
                  <c:v>2339.9644983721741</c:v>
                </c:pt>
                <c:pt idx="6">
                  <c:v>2172.2660782618573</c:v>
                </c:pt>
                <c:pt idx="7">
                  <c:v>2032.6336293495688</c:v>
                </c:pt>
                <c:pt idx="8">
                  <c:v>1970.4564663357473</c:v>
                </c:pt>
                <c:pt idx="9">
                  <c:v>2087.226375327562</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'Grafer-energi'!$C$112:$L$112</c:f>
              <c:numCache>
                <c:formatCode>#,##0</c:formatCode>
                <c:ptCount val="10"/>
                <c:pt idx="0">
                  <c:v>92.06</c:v>
                </c:pt>
                <c:pt idx="2">
                  <c:v>707.28</c:v>
                </c:pt>
                <c:pt idx="3">
                  <c:v>576.01</c:v>
                </c:pt>
                <c:pt idx="4">
                  <c:v>648.98299999999995</c:v>
                </c:pt>
                <c:pt idx="5">
                  <c:v>729.6</c:v>
                </c:pt>
                <c:pt idx="6">
                  <c:v>1139.7</c:v>
                </c:pt>
                <c:pt idx="7">
                  <c:v>1026.5999999999999</c:v>
                </c:pt>
                <c:pt idx="8">
                  <c:v>957</c:v>
                </c:pt>
                <c:pt idx="9">
                  <c:v>945.45</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'Grafer-energi'!$C$113:$L$113</c:f>
              <c:numCache>
                <c:formatCode>#,##0</c:formatCode>
                <c:ptCount val="10"/>
                <c:pt idx="0">
                  <c:v>0</c:v>
                </c:pt>
                <c:pt idx="2">
                  <c:v>22.2422</c:v>
                </c:pt>
                <c:pt idx="3">
                  <c:v>20.642199999999999</c:v>
                </c:pt>
                <c:pt idx="4">
                  <c:v>67</c:v>
                </c:pt>
                <c:pt idx="5">
                  <c:v>46.300000000000011</c:v>
                </c:pt>
                <c:pt idx="6">
                  <c:v>104.0196</c:v>
                </c:pt>
                <c:pt idx="7">
                  <c:v>212.25185999999999</c:v>
                </c:pt>
                <c:pt idx="8">
                  <c:v>220.6567</c:v>
                </c:pt>
                <c:pt idx="9">
                  <c:v>1384.9274</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'Grafer-energi'!$C$114:$L$114</c:f>
              <c:numCache>
                <c:formatCode>#,##0</c:formatCode>
                <c:ptCount val="10"/>
                <c:pt idx="0">
                  <c:v>1.1000000000000001</c:v>
                </c:pt>
                <c:pt idx="2">
                  <c:v>5.9</c:v>
                </c:pt>
                <c:pt idx="3">
                  <c:v>6.8000000000000007</c:v>
                </c:pt>
                <c:pt idx="4">
                  <c:v>16.5</c:v>
                </c:pt>
                <c:pt idx="5">
                  <c:v>47.9</c:v>
                </c:pt>
                <c:pt idx="6">
                  <c:v>46.6</c:v>
                </c:pt>
                <c:pt idx="7">
                  <c:v>49</c:v>
                </c:pt>
                <c:pt idx="8">
                  <c:v>47.7</c:v>
                </c:pt>
                <c:pt idx="9">
                  <c:v>101.26</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'Grafer-energi'!$C$115:$L$115</c:f>
              <c:numCache>
                <c:formatCode>#,##0</c:formatCode>
                <c:ptCount val="10"/>
                <c:pt idx="0">
                  <c:v>0</c:v>
                </c:pt>
                <c:pt idx="2">
                  <c:v>0.12850370921183907</c:v>
                </c:pt>
                <c:pt idx="3">
                  <c:v>1.5739539993640701</c:v>
                </c:pt>
                <c:pt idx="4">
                  <c:v>5.6666666666666661</c:v>
                </c:pt>
                <c:pt idx="5">
                  <c:v>5.1666666666666661</c:v>
                </c:pt>
                <c:pt idx="6">
                  <c:v>7.7999999999999989</c:v>
                </c:pt>
                <c:pt idx="7">
                  <c:v>9.3999999999999986</c:v>
                </c:pt>
                <c:pt idx="8">
                  <c:v>10.199999999999999</c:v>
                </c:pt>
                <c:pt idx="9">
                  <c:v>14.879999999999999</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'Grafer-energi'!$C$116:$L$116</c:f>
              <c:numCache>
                <c:formatCode>#,##0</c:formatCode>
                <c:ptCount val="10"/>
                <c:pt idx="0">
                  <c:v>0</c:v>
                </c:pt>
                <c:pt idx="2">
                  <c:v>3.8842956776611191</c:v>
                </c:pt>
                <c:pt idx="3">
                  <c:v>60.773910694304575</c:v>
                </c:pt>
                <c:pt idx="4">
                  <c:v>81.125453779684662</c:v>
                </c:pt>
                <c:pt idx="5">
                  <c:v>49.899172926844855</c:v>
                </c:pt>
                <c:pt idx="6">
                  <c:v>-111.06972827029418</c:v>
                </c:pt>
                <c:pt idx="7">
                  <c:v>-94.434068192701545</c:v>
                </c:pt>
                <c:pt idx="8">
                  <c:v>-58.073698460661163</c:v>
                </c:pt>
                <c:pt idx="9">
                  <c:v>-13.751568977276586</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708.91875270154026</c:v>
                </c:pt>
                <c:pt idx="1">
                  <c:v>263.39999999999998</c:v>
                </c:pt>
                <c:pt idx="2">
                  <c:v>763.54</c:v>
                </c:pt>
                <c:pt idx="3">
                  <c:v>216.3</c:v>
                </c:pt>
                <c:pt idx="4">
                  <c:v>3236.4613279569739</c:v>
                </c:pt>
                <c:pt idx="5">
                  <c:v>267.94</c:v>
                </c:pt>
                <c:pt idx="6">
                  <c:v>746.08207401748859</c:v>
                </c:pt>
                <c:pt idx="7">
                  <c:v>22.41</c:v>
                </c:pt>
                <c:pt idx="8">
                  <c:v>27.39</c:v>
                </c:pt>
                <c:pt idx="9">
                  <c:v>686.45999999999992</c:v>
                </c:pt>
                <c:pt idx="10">
                  <c:v>92.06</c:v>
                </c:pt>
                <c:pt idx="11">
                  <c:v>0</c:v>
                </c:pt>
                <c:pt idx="12">
                  <c:v>1.1000000000000001</c:v>
                </c:pt>
                <c:pt idx="13">
                  <c:v>0</c:v>
                </c:pt>
                <c:pt idx="14">
                  <c:v>0</c:v>
                </c:pt>
              </c:numCache>
            </c:numRef>
          </c:val>
          <c:extLst>
            <c:ext xmlns:c16="http://schemas.microsoft.com/office/drawing/2014/chart" uri="{C3380CC4-5D6E-409C-BE32-E72D297353CC}">
              <c16:uniqueId val="{00000000-AE48-433E-8EEA-39856ECE24AB}"/>
            </c:ext>
          </c:extLst>
        </c:ser>
        <c:ser>
          <c:idx val="3"/>
          <c:order val="1"/>
          <c:tx>
            <c:strRef>
              <c:f>'Grafer-energi'!$L$101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'Grafer-energi'!$L$102:$L$116</c:f>
              <c:numCache>
                <c:formatCode>#,##0</c:formatCode>
                <c:ptCount val="15"/>
                <c:pt idx="0">
                  <c:v>-9.607644505442261</c:v>
                </c:pt>
                <c:pt idx="1">
                  <c:v>0</c:v>
                </c:pt>
                <c:pt idx="2">
                  <c:v>-165.97727453361037</c:v>
                </c:pt>
                <c:pt idx="3">
                  <c:v>3.8000000000000003</c:v>
                </c:pt>
                <c:pt idx="4">
                  <c:v>1219.8829131737664</c:v>
                </c:pt>
                <c:pt idx="5">
                  <c:v>127.03</c:v>
                </c:pt>
                <c:pt idx="6">
                  <c:v>396.82818050632466</c:v>
                </c:pt>
                <c:pt idx="7">
                  <c:v>0</c:v>
                </c:pt>
                <c:pt idx="8">
                  <c:v>0</c:v>
                </c:pt>
                <c:pt idx="9">
                  <c:v>2087.226375327562</c:v>
                </c:pt>
                <c:pt idx="10">
                  <c:v>945.45</c:v>
                </c:pt>
                <c:pt idx="11">
                  <c:v>1384.9274</c:v>
                </c:pt>
                <c:pt idx="12">
                  <c:v>101.26</c:v>
                </c:pt>
                <c:pt idx="13">
                  <c:v>14.879999999999999</c:v>
                </c:pt>
                <c:pt idx="14">
                  <c:v>-13.751568977276586</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da-DK"/>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27.39</c:v>
                </c:pt>
                <c:pt idx="1">
                  <c:v>686.45999999999992</c:v>
                </c:pt>
                <c:pt idx="2">
                  <c:v>92.06</c:v>
                </c:pt>
                <c:pt idx="3">
                  <c:v>0</c:v>
                </c:pt>
                <c:pt idx="4">
                  <c:v>1.1000000000000001</c:v>
                </c:pt>
                <c:pt idx="5">
                  <c:v>0</c:v>
                </c:pt>
                <c:pt idx="6">
                  <c:v>0</c:v>
                </c:pt>
              </c:numCache>
            </c:numRef>
          </c:val>
          <c:extLst>
            <c:ext xmlns:c16="http://schemas.microsoft.com/office/drawing/2014/chart" uri="{C3380CC4-5D6E-409C-BE32-E72D297353CC}">
              <c16:uniqueId val="{00000000-EB78-4F1D-A9BF-9F815844292F}"/>
            </c:ext>
          </c:extLst>
        </c:ser>
        <c:ser>
          <c:idx val="3"/>
          <c:order val="1"/>
          <c:tx>
            <c:strRef>
              <c:f>'Grafer-energi'!$L$101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'Grafer-energi'!$L$110:$L$116</c:f>
              <c:numCache>
                <c:formatCode>#,##0</c:formatCode>
                <c:ptCount val="7"/>
                <c:pt idx="0">
                  <c:v>0</c:v>
                </c:pt>
                <c:pt idx="1">
                  <c:v>2087.226375327562</c:v>
                </c:pt>
                <c:pt idx="2">
                  <c:v>945.45</c:v>
                </c:pt>
                <c:pt idx="3">
                  <c:v>1384.9274</c:v>
                </c:pt>
                <c:pt idx="4">
                  <c:v>101.26</c:v>
                </c:pt>
                <c:pt idx="5">
                  <c:v>14.879999999999999</c:v>
                </c:pt>
                <c:pt idx="6">
                  <c:v>-13.751568977276586</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168.72266314296658</c:v>
                </c:pt>
                <c:pt idx="1">
                  <c:v>24.812279999999998</c:v>
                </c:pt>
                <c:pt idx="2">
                  <c:v>44.131777999999997</c:v>
                </c:pt>
                <c:pt idx="3">
                  <c:v>17.094189000000004</c:v>
                </c:pt>
                <c:pt idx="4">
                  <c:v>239.82178440161178</c:v>
                </c:pt>
                <c:pt idx="5">
                  <c:v>19.291679999999999</c:v>
                </c:pt>
                <c:pt idx="6">
                  <c:v>54.463991403276665</c:v>
                </c:pt>
                <c:pt idx="7">
                  <c:v>1.8425501999999998</c:v>
                </c:pt>
              </c:numCache>
            </c:numRef>
          </c:val>
          <c:extLst>
            <c:ext xmlns:c16="http://schemas.microsoft.com/office/drawing/2014/chart" uri="{C3380CC4-5D6E-409C-BE32-E72D297353CC}">
              <c16:uniqueId val="{00000000-2C2A-430F-8E47-F46A09FEA170}"/>
            </c:ext>
          </c:extLst>
        </c:ser>
        <c:ser>
          <c:idx val="3"/>
          <c:order val="1"/>
          <c:tx>
            <c:strRef>
              <c:f>'Grafer-energi'!$L$707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'Grafer-energi'!$L$708:$L$715</c:f>
              <c:numCache>
                <c:formatCode>#,##0</c:formatCode>
                <c:ptCount val="8"/>
                <c:pt idx="0">
                  <c:v>-1.8042995758085667</c:v>
                </c:pt>
                <c:pt idx="1">
                  <c:v>0</c:v>
                </c:pt>
                <c:pt idx="2">
                  <c:v>-9.0221270821060475</c:v>
                </c:pt>
                <c:pt idx="3">
                  <c:v>0.30031400000000003</c:v>
                </c:pt>
                <c:pt idx="4">
                  <c:v>90.393323866176075</c:v>
                </c:pt>
                <c:pt idx="5">
                  <c:v>9.1461600000000001</c:v>
                </c:pt>
                <c:pt idx="6">
                  <c:v>28.968457176961699</c:v>
                </c:pt>
                <c:pt idx="7">
                  <c:v>0</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da-DK"/>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2677.0099999999993</c:v>
                </c:pt>
                <c:pt idx="1">
                  <c:v>660.19999999999993</c:v>
                </c:pt>
                <c:pt idx="2">
                  <c:v>1080.6199999999999</c:v>
                </c:pt>
                <c:pt idx="3">
                  <c:v>1813.2534019744633</c:v>
                </c:pt>
                <c:pt idx="4">
                  <c:v>92.06</c:v>
                </c:pt>
                <c:pt idx="5">
                  <c:v>708.91875270154026</c:v>
                </c:pt>
              </c:numCache>
            </c:numRef>
          </c:val>
          <c:extLst>
            <c:ext xmlns:c16="http://schemas.microsoft.com/office/drawing/2014/chart" uri="{C3380CC4-5D6E-409C-BE32-E72D297353CC}">
              <c16:uniqueId val="{00000000-A52C-4AFC-B2A8-4AD2EDF9F935}"/>
            </c:ext>
          </c:extLst>
        </c:ser>
        <c:ser>
          <c:idx val="3"/>
          <c:order val="1"/>
          <c:tx>
            <c:strRef>
              <c:f>'Grafer-energi'!$L$376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'Grafer-energi'!$L$377:$L$382</c:f>
              <c:numCache>
                <c:formatCode>#,##0</c:formatCode>
                <c:ptCount val="6"/>
                <c:pt idx="0">
                  <c:v>1296.21</c:v>
                </c:pt>
                <c:pt idx="1">
                  <c:v>1199.42</c:v>
                </c:pt>
                <c:pt idx="2">
                  <c:v>949.76</c:v>
                </c:pt>
                <c:pt idx="3">
                  <c:v>1688.9675944740432</c:v>
                </c:pt>
                <c:pt idx="4">
                  <c:v>980.95</c:v>
                </c:pt>
                <c:pt idx="5">
                  <c:v>-23.359213482718847</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496.72</c:v>
                </c:pt>
                <c:pt idx="1">
                  <c:v>1198.810672105074</c:v>
                </c:pt>
                <c:pt idx="2">
                  <c:v>177.99</c:v>
                </c:pt>
                <c:pt idx="3">
                  <c:v>1241.1488518510375</c:v>
                </c:pt>
                <c:pt idx="4">
                  <c:v>40.24</c:v>
                </c:pt>
                <c:pt idx="5">
                  <c:v>1020.6004760438885</c:v>
                </c:pt>
                <c:pt idx="6">
                  <c:v>0</c:v>
                </c:pt>
                <c:pt idx="7">
                  <c:v>92.233775327562114</c:v>
                </c:pt>
                <c:pt idx="8">
                  <c:v>92.06</c:v>
                </c:pt>
                <c:pt idx="9">
                  <c:v>980.95</c:v>
                </c:pt>
                <c:pt idx="10">
                  <c:v>0</c:v>
                </c:pt>
                <c:pt idx="11">
                  <c:v>-13.751568977276586</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2180.2899999999991</c:v>
                </c:pt>
                <c:pt idx="1">
                  <c:v>97.399327894926046</c:v>
                </c:pt>
                <c:pt idx="2">
                  <c:v>482.20999999999992</c:v>
                </c:pt>
                <c:pt idx="3">
                  <c:v>-41.728851851037462</c:v>
                </c:pt>
                <c:pt idx="4">
                  <c:v>1040.3799999999999</c:v>
                </c:pt>
                <c:pt idx="5">
                  <c:v>-70.840476043888543</c:v>
                </c:pt>
                <c:pt idx="6">
                  <c:v>1813.2534019744633</c:v>
                </c:pt>
                <c:pt idx="7">
                  <c:v>1596.733819146481</c:v>
                </c:pt>
                <c:pt idx="8">
                  <c:v>0</c:v>
                </c:pt>
                <c:pt idx="9">
                  <c:v>0</c:v>
                </c:pt>
                <c:pt idx="10">
                  <c:v>708.91875270154026</c:v>
                </c:pt>
                <c:pt idx="11">
                  <c:v>-9.607644505442261</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da-DK"/>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744.64207401748854</c:v>
                </c:pt>
                <c:pt idx="1">
                  <c:v>185.03025259603803</c:v>
                </c:pt>
                <c:pt idx="2">
                  <c:v>0</c:v>
                </c:pt>
                <c:pt idx="3">
                  <c:v>30.009062587984339</c:v>
                </c:pt>
                <c:pt idx="4">
                  <c:v>0</c:v>
                </c:pt>
                <c:pt idx="5">
                  <c:v>269.55201277295214</c:v>
                </c:pt>
                <c:pt idx="6">
                  <c:v>0</c:v>
                </c:pt>
                <c:pt idx="7">
                  <c:v>218.42</c:v>
                </c:pt>
                <c:pt idx="8">
                  <c:v>37.270000000000003</c:v>
                </c:pt>
                <c:pt idx="9">
                  <c:v>269.38</c:v>
                </c:pt>
                <c:pt idx="10">
                  <c:v>58.95</c:v>
                </c:pt>
              </c:numCache>
            </c:numRef>
          </c:val>
          <c:extLst>
            <c:ext xmlns:c16="http://schemas.microsoft.com/office/drawing/2014/chart" uri="{C3380CC4-5D6E-409C-BE32-E72D297353CC}">
              <c16:uniqueId val="{00000000-E41A-4C78-900D-0B3A9024CFB0}"/>
            </c:ext>
          </c:extLst>
        </c:ser>
        <c:ser>
          <c:idx val="2"/>
          <c:order val="1"/>
          <c:tx>
            <c:strRef>
              <c:f>'Grafer-energi'!$L$591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418.73208158368521</c:v>
                </c:pt>
                <c:pt idx="1">
                  <c:v>495.08782846200626</c:v>
                </c:pt>
                <c:pt idx="2">
                  <c:v>6.1221440672948289</c:v>
                </c:pt>
                <c:pt idx="3">
                  <c:v>38.692776018821469</c:v>
                </c:pt>
                <c:pt idx="4">
                  <c:v>0</c:v>
                </c:pt>
                <c:pt idx="5">
                  <c:v>339.65114169157317</c:v>
                </c:pt>
                <c:pt idx="6">
                  <c:v>0</c:v>
                </c:pt>
                <c:pt idx="7">
                  <c:v>205.84</c:v>
                </c:pt>
                <c:pt idx="8">
                  <c:v>20.9</c:v>
                </c:pt>
                <c:pt idx="9">
                  <c:v>127.38</c:v>
                </c:pt>
                <c:pt idx="10">
                  <c:v>38.68</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'Grafer-energi'!$L$591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418.73208158368521</c:v>
                </c:pt>
                <c:pt idx="1">
                  <c:v>495.08782846200626</c:v>
                </c:pt>
                <c:pt idx="2">
                  <c:v>6.1221440672948289</c:v>
                </c:pt>
                <c:pt idx="3">
                  <c:v>38.692776018821469</c:v>
                </c:pt>
                <c:pt idx="4">
                  <c:v>0</c:v>
                </c:pt>
                <c:pt idx="5">
                  <c:v>339.65114169157317</c:v>
                </c:pt>
                <c:pt idx="6">
                  <c:v>0</c:v>
                </c:pt>
                <c:pt idx="7">
                  <c:v>205.84</c:v>
                </c:pt>
                <c:pt idx="8">
                  <c:v>20.9</c:v>
                </c:pt>
                <c:pt idx="9">
                  <c:v>127.38</c:v>
                </c:pt>
                <c:pt idx="10">
                  <c:v>38.68</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160.07237699999999</c:v>
                </c:pt>
                <c:pt idx="1">
                  <c:v>38.458482199999999</c:v>
                </c:pt>
                <c:pt idx="2">
                  <c:v>69.785547300000005</c:v>
                </c:pt>
                <c:pt idx="3">
                  <c:v>133.14184650488849</c:v>
                </c:pt>
                <c:pt idx="4">
                  <c:v>0</c:v>
                </c:pt>
                <c:pt idx="5">
                  <c:v>168.72266314296658</c:v>
                </c:pt>
              </c:numCache>
            </c:numRef>
          </c:val>
          <c:extLst>
            <c:ext xmlns:c16="http://schemas.microsoft.com/office/drawing/2014/chart" uri="{C3380CC4-5D6E-409C-BE32-E72D297353CC}">
              <c16:uniqueId val="{00000000-B834-4120-8904-F233ED02E234}"/>
            </c:ext>
          </c:extLst>
        </c:ser>
        <c:ser>
          <c:idx val="1"/>
          <c:order val="1"/>
          <c:tx>
            <c:strRef>
              <c:f>'Grafer-energi'!$L$865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'Grafer-energi'!$L$866:$L$871</c:f>
              <c:numCache>
                <c:formatCode>#,##0</c:formatCode>
                <c:ptCount val="6"/>
                <c:pt idx="0">
                  <c:v>10.348065</c:v>
                </c:pt>
                <c:pt idx="1">
                  <c:v>1.482E-3</c:v>
                </c:pt>
                <c:pt idx="2">
                  <c:v>2.3792032999999995</c:v>
                </c:pt>
                <c:pt idx="3">
                  <c:v>117.42669674313778</c:v>
                </c:pt>
                <c:pt idx="4">
                  <c:v>-10.369319082106047</c:v>
                </c:pt>
                <c:pt idx="5">
                  <c:v>-1.8042995758085667</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'Grafer-energi'!$C$110:$L$110</c:f>
              <c:numCache>
                <c:formatCode>#,##0</c:formatCode>
                <c:ptCount val="10"/>
                <c:pt idx="0">
                  <c:v>27.39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'Grafer-energi'!$C$111:$L$111</c:f>
              <c:numCache>
                <c:formatCode>#,##0</c:formatCode>
                <c:ptCount val="10"/>
                <c:pt idx="0">
                  <c:v>686.45999999999992</c:v>
                </c:pt>
                <c:pt idx="2">
                  <c:v>1629.3887770867709</c:v>
                </c:pt>
                <c:pt idx="3">
                  <c:v>2252.040177489192</c:v>
                </c:pt>
                <c:pt idx="4">
                  <c:v>2079.8560851392676</c:v>
                </c:pt>
                <c:pt idx="5">
                  <c:v>2339.9644983721741</c:v>
                </c:pt>
                <c:pt idx="6">
                  <c:v>2172.2660782618573</c:v>
                </c:pt>
                <c:pt idx="7">
                  <c:v>2032.6336293495688</c:v>
                </c:pt>
                <c:pt idx="8">
                  <c:v>1970.4564663357473</c:v>
                </c:pt>
                <c:pt idx="9">
                  <c:v>2087.226375327562</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'Grafer-energi'!$C$112:$L$112</c:f>
              <c:numCache>
                <c:formatCode>#,##0</c:formatCode>
                <c:ptCount val="10"/>
                <c:pt idx="0">
                  <c:v>92.06</c:v>
                </c:pt>
                <c:pt idx="2">
                  <c:v>707.28</c:v>
                </c:pt>
                <c:pt idx="3">
                  <c:v>576.01</c:v>
                </c:pt>
                <c:pt idx="4">
                  <c:v>648.98299999999995</c:v>
                </c:pt>
                <c:pt idx="5">
                  <c:v>729.6</c:v>
                </c:pt>
                <c:pt idx="6">
                  <c:v>1139.7</c:v>
                </c:pt>
                <c:pt idx="7">
                  <c:v>1026.5999999999999</c:v>
                </c:pt>
                <c:pt idx="8">
                  <c:v>957</c:v>
                </c:pt>
                <c:pt idx="9">
                  <c:v>945.45</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'Grafer-energi'!$C$113:$L$113</c:f>
              <c:numCache>
                <c:formatCode>#,##0</c:formatCode>
                <c:ptCount val="10"/>
                <c:pt idx="0">
                  <c:v>0</c:v>
                </c:pt>
                <c:pt idx="2">
                  <c:v>22.2422</c:v>
                </c:pt>
                <c:pt idx="3">
                  <c:v>20.642199999999999</c:v>
                </c:pt>
                <c:pt idx="4">
                  <c:v>67</c:v>
                </c:pt>
                <c:pt idx="5">
                  <c:v>46.300000000000011</c:v>
                </c:pt>
                <c:pt idx="6">
                  <c:v>104.0196</c:v>
                </c:pt>
                <c:pt idx="7">
                  <c:v>212.25185999999999</c:v>
                </c:pt>
                <c:pt idx="8">
                  <c:v>220.6567</c:v>
                </c:pt>
                <c:pt idx="9">
                  <c:v>1384.9274</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'Grafer-energi'!$C$114:$L$114</c:f>
              <c:numCache>
                <c:formatCode>#,##0</c:formatCode>
                <c:ptCount val="10"/>
                <c:pt idx="0">
                  <c:v>1.1000000000000001</c:v>
                </c:pt>
                <c:pt idx="2">
                  <c:v>5.9</c:v>
                </c:pt>
                <c:pt idx="3">
                  <c:v>6.8000000000000007</c:v>
                </c:pt>
                <c:pt idx="4">
                  <c:v>16.5</c:v>
                </c:pt>
                <c:pt idx="5">
                  <c:v>47.9</c:v>
                </c:pt>
                <c:pt idx="6">
                  <c:v>46.6</c:v>
                </c:pt>
                <c:pt idx="7">
                  <c:v>49</c:v>
                </c:pt>
                <c:pt idx="8">
                  <c:v>47.7</c:v>
                </c:pt>
                <c:pt idx="9">
                  <c:v>101.26</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'Grafer-energi'!$C$115:$L$115</c:f>
              <c:numCache>
                <c:formatCode>#,##0</c:formatCode>
                <c:ptCount val="10"/>
                <c:pt idx="0">
                  <c:v>0</c:v>
                </c:pt>
                <c:pt idx="2">
                  <c:v>0.12850370921183907</c:v>
                </c:pt>
                <c:pt idx="3">
                  <c:v>1.5739539993640701</c:v>
                </c:pt>
                <c:pt idx="4">
                  <c:v>5.6666666666666661</c:v>
                </c:pt>
                <c:pt idx="5">
                  <c:v>5.1666666666666661</c:v>
                </c:pt>
                <c:pt idx="6">
                  <c:v>7.7999999999999989</c:v>
                </c:pt>
                <c:pt idx="7">
                  <c:v>9.3999999999999986</c:v>
                </c:pt>
                <c:pt idx="8">
                  <c:v>10.199999999999999</c:v>
                </c:pt>
                <c:pt idx="9">
                  <c:v>14.879999999999999</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'Grafer-energi'!$C$116:$L$116</c:f>
              <c:numCache>
                <c:formatCode>#,##0</c:formatCode>
                <c:ptCount val="10"/>
                <c:pt idx="0">
                  <c:v>0</c:v>
                </c:pt>
                <c:pt idx="2">
                  <c:v>3.8842956776611191</c:v>
                </c:pt>
                <c:pt idx="3">
                  <c:v>60.773910694304575</c:v>
                </c:pt>
                <c:pt idx="4">
                  <c:v>81.125453779684662</c:v>
                </c:pt>
                <c:pt idx="5">
                  <c:v>49.899172926844855</c:v>
                </c:pt>
                <c:pt idx="6">
                  <c:v>-111.06972827029418</c:v>
                </c:pt>
                <c:pt idx="7">
                  <c:v>-94.434068192701545</c:v>
                </c:pt>
                <c:pt idx="8">
                  <c:v>-58.073698460661163</c:v>
                </c:pt>
                <c:pt idx="9">
                  <c:v>-13.751568977276586</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448.42948500000011</c:v>
                </c:pt>
                <c:pt idx="1">
                  <c:v>73.491</c:v>
                </c:pt>
                <c:pt idx="2">
                  <c:v>1675.0640000000001</c:v>
                </c:pt>
                <c:pt idx="3">
                  <c:v>5.6025</c:v>
                </c:pt>
                <c:pt idx="4">
                  <c:v>172.744</c:v>
                </c:pt>
                <c:pt idx="5">
                  <c:v>144.55349999999999</c:v>
                </c:pt>
                <c:pt idx="6">
                  <c:v>49.646666666666668</c:v>
                </c:pt>
                <c:pt idx="7">
                  <c:v>0</c:v>
                </c:pt>
                <c:pt idx="8">
                  <c:v>1.1000000000000001</c:v>
                </c:pt>
              </c:numCache>
            </c:numRef>
          </c:val>
          <c:extLst>
            <c:ext xmlns:c16="http://schemas.microsoft.com/office/drawing/2014/chart" uri="{C3380CC4-5D6E-409C-BE32-E72D297353CC}">
              <c16:uniqueId val="{00000000-8425-495C-AE1A-C736F301088B}"/>
            </c:ext>
          </c:extLst>
        </c:ser>
        <c:ser>
          <c:idx val="3"/>
          <c:order val="1"/>
          <c:tx>
            <c:strRef>
              <c:f>'Grafer-energi'!$L$999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638.12599742400005</c:v>
                </c:pt>
                <c:pt idx="1">
                  <c:v>258.52749999999997</c:v>
                </c:pt>
                <c:pt idx="2">
                  <c:v>111.72000000000001</c:v>
                </c:pt>
                <c:pt idx="3">
                  <c:v>300.93</c:v>
                </c:pt>
                <c:pt idx="4">
                  <c:v>236.0215</c:v>
                </c:pt>
                <c:pt idx="5">
                  <c:v>42.653000000000006</c:v>
                </c:pt>
                <c:pt idx="6">
                  <c:v>34.880000000000003</c:v>
                </c:pt>
                <c:pt idx="7">
                  <c:v>22.32</c:v>
                </c:pt>
                <c:pt idx="8">
                  <c:v>7.56</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da-DK"/>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'Grafer-energi'!$C$1000:$L$1000</c:f>
              <c:numCache>
                <c:formatCode>#,##0</c:formatCode>
                <c:ptCount val="10"/>
                <c:pt idx="0">
                  <c:v>448.42948500000011</c:v>
                </c:pt>
                <c:pt idx="2">
                  <c:v>608.97608999999989</c:v>
                </c:pt>
                <c:pt idx="3">
                  <c:v>731.07149056000003</c:v>
                </c:pt>
                <c:pt idx="4">
                  <c:v>708.9159810000001</c:v>
                </c:pt>
                <c:pt idx="5">
                  <c:v>720.62538500000005</c:v>
                </c:pt>
                <c:pt idx="6">
                  <c:v>635.35448604320015</c:v>
                </c:pt>
                <c:pt idx="7">
                  <c:v>634.31754977200023</c:v>
                </c:pt>
                <c:pt idx="8">
                  <c:v>648.06301991999987</c:v>
                </c:pt>
                <c:pt idx="9">
                  <c:v>638.12599742400005</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'Grafer-energi'!$C$1001:$L$1001</c:f>
              <c:numCache>
                <c:formatCode>#,##0</c:formatCode>
                <c:ptCount val="10"/>
                <c:pt idx="0">
                  <c:v>73.491</c:v>
                </c:pt>
                <c:pt idx="2">
                  <c:v>275.39342314200002</c:v>
                </c:pt>
                <c:pt idx="3">
                  <c:v>267.75</c:v>
                </c:pt>
                <c:pt idx="4">
                  <c:v>266.05</c:v>
                </c:pt>
                <c:pt idx="5">
                  <c:v>283.05</c:v>
                </c:pt>
                <c:pt idx="6">
                  <c:v>257.71999999999997</c:v>
                </c:pt>
                <c:pt idx="7">
                  <c:v>263.33</c:v>
                </c:pt>
                <c:pt idx="8">
                  <c:v>255.76499999999999</c:v>
                </c:pt>
                <c:pt idx="9">
                  <c:v>258.52749999999997</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'Grafer-energi'!$C$1002:$L$1002</c:f>
              <c:numCache>
                <c:formatCode>#,##0</c:formatCode>
                <c:ptCount val="10"/>
                <c:pt idx="0">
                  <c:v>1675.0640000000001</c:v>
                </c:pt>
                <c:pt idx="2">
                  <c:v>380</c:v>
                </c:pt>
                <c:pt idx="3">
                  <c:v>383.20000000000005</c:v>
                </c:pt>
                <c:pt idx="4">
                  <c:v>250.4</c:v>
                </c:pt>
                <c:pt idx="5">
                  <c:v>224</c:v>
                </c:pt>
                <c:pt idx="6">
                  <c:v>190.4</c:v>
                </c:pt>
                <c:pt idx="7">
                  <c:v>116</c:v>
                </c:pt>
                <c:pt idx="8">
                  <c:v>115.84000000000002</c:v>
                </c:pt>
                <c:pt idx="9">
                  <c:v>111.72000000000001</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'Grafer-energi'!$C$1003:$L$1003</c:f>
              <c:numCache>
                <c:formatCode>#,##0</c:formatCode>
                <c:ptCount val="10"/>
                <c:pt idx="0">
                  <c:v>5.6025</c:v>
                </c:pt>
                <c:pt idx="2">
                  <c:v>147.75</c:v>
                </c:pt>
                <c:pt idx="3">
                  <c:v>321.75</c:v>
                </c:pt>
                <c:pt idx="4">
                  <c:v>236.25</c:v>
                </c:pt>
                <c:pt idx="5">
                  <c:v>280.5</c:v>
                </c:pt>
                <c:pt idx="6">
                  <c:v>295.5</c:v>
                </c:pt>
                <c:pt idx="7">
                  <c:v>301.5</c:v>
                </c:pt>
                <c:pt idx="8">
                  <c:v>303.375</c:v>
                </c:pt>
                <c:pt idx="9">
                  <c:v>300.93</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'Grafer-energi'!$C$1004:$L$1004</c:f>
              <c:numCache>
                <c:formatCode>#,##0</c:formatCode>
                <c:ptCount val="10"/>
                <c:pt idx="0">
                  <c:v>172.744</c:v>
                </c:pt>
                <c:pt idx="2">
                  <c:v>492.05</c:v>
                </c:pt>
                <c:pt idx="3">
                  <c:v>486.2</c:v>
                </c:pt>
                <c:pt idx="4">
                  <c:v>458.90000000000003</c:v>
                </c:pt>
                <c:pt idx="5">
                  <c:v>525.20000000000005</c:v>
                </c:pt>
                <c:pt idx="6">
                  <c:v>438.75</c:v>
                </c:pt>
                <c:pt idx="7">
                  <c:v>299</c:v>
                </c:pt>
                <c:pt idx="8">
                  <c:v>275.14500000000004</c:v>
                </c:pt>
                <c:pt idx="9">
                  <c:v>236.0215</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'Grafer-energi'!$C$1005:$L$1005</c:f>
              <c:numCache>
                <c:formatCode>#,##0</c:formatCode>
                <c:ptCount val="10"/>
                <c:pt idx="0">
                  <c:v>144.55349999999999</c:v>
                </c:pt>
                <c:pt idx="2">
                  <c:v>106.60000000000001</c:v>
                </c:pt>
                <c:pt idx="3">
                  <c:v>82.55</c:v>
                </c:pt>
                <c:pt idx="4">
                  <c:v>65.650000000000006</c:v>
                </c:pt>
                <c:pt idx="5">
                  <c:v>62.400000000000006</c:v>
                </c:pt>
                <c:pt idx="6">
                  <c:v>52</c:v>
                </c:pt>
                <c:pt idx="7">
                  <c:v>48.75</c:v>
                </c:pt>
                <c:pt idx="8">
                  <c:v>45.825000000000003</c:v>
                </c:pt>
                <c:pt idx="9">
                  <c:v>42.653000000000006</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'Grafer-energi'!$C$1006:$L$1006</c:f>
              <c:numCache>
                <c:formatCode>#,##0</c:formatCode>
                <c:ptCount val="10"/>
                <c:pt idx="0">
                  <c:v>49.646666666666668</c:v>
                </c:pt>
                <c:pt idx="2">
                  <c:v>28.958275752045445</c:v>
                </c:pt>
                <c:pt idx="3">
                  <c:v>31.09528343361697</c:v>
                </c:pt>
                <c:pt idx="4">
                  <c:v>29.866666666666667</c:v>
                </c:pt>
                <c:pt idx="5">
                  <c:v>28.544444444444444</c:v>
                </c:pt>
                <c:pt idx="6">
                  <c:v>25.68888888888889</c:v>
                </c:pt>
                <c:pt idx="7">
                  <c:v>30.788888888888888</c:v>
                </c:pt>
                <c:pt idx="8">
                  <c:v>32.011111111111106</c:v>
                </c:pt>
                <c:pt idx="9">
                  <c:v>34.880000000000003</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'Grafer-energi'!$C$1007:$L$1007</c:f>
              <c:numCache>
                <c:formatCode>#,##0</c:formatCode>
                <c:ptCount val="10"/>
                <c:pt idx="0">
                  <c:v>0</c:v>
                </c:pt>
                <c:pt idx="2">
                  <c:v>0.1927555638177586</c:v>
                </c:pt>
                <c:pt idx="3">
                  <c:v>2.3609309990461051</c:v>
                </c:pt>
                <c:pt idx="4">
                  <c:v>8.5</c:v>
                </c:pt>
                <c:pt idx="5">
                  <c:v>7.75</c:v>
                </c:pt>
                <c:pt idx="6">
                  <c:v>11.7</c:v>
                </c:pt>
                <c:pt idx="7">
                  <c:v>14.099999999999998</c:v>
                </c:pt>
                <c:pt idx="8">
                  <c:v>15.3</c:v>
                </c:pt>
                <c:pt idx="9">
                  <c:v>22.32</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'Grafer-energi'!$C$1008:$L$1008</c:f>
              <c:numCache>
                <c:formatCode>#,##0</c:formatCode>
                <c:ptCount val="10"/>
                <c:pt idx="0">
                  <c:v>1.1000000000000001</c:v>
                </c:pt>
                <c:pt idx="2">
                  <c:v>5.5</c:v>
                </c:pt>
                <c:pt idx="3">
                  <c:v>6.4</c:v>
                </c:pt>
                <c:pt idx="4">
                  <c:v>7.1</c:v>
                </c:pt>
                <c:pt idx="5">
                  <c:v>7.8</c:v>
                </c:pt>
                <c:pt idx="6">
                  <c:v>7.6</c:v>
                </c:pt>
                <c:pt idx="7">
                  <c:v>7.7</c:v>
                </c:pt>
                <c:pt idx="8">
                  <c:v>7.7</c:v>
                </c:pt>
                <c:pt idx="9">
                  <c:v>7.56</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'Grafer-energi'!$L$999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638.12599742400005</c:v>
                </c:pt>
                <c:pt idx="1">
                  <c:v>258.52749999999997</c:v>
                </c:pt>
                <c:pt idx="2">
                  <c:v>111.72000000000001</c:v>
                </c:pt>
                <c:pt idx="3">
                  <c:v>300.93</c:v>
                </c:pt>
                <c:pt idx="4">
                  <c:v>236.0215</c:v>
                </c:pt>
                <c:pt idx="5">
                  <c:v>42.653000000000006</c:v>
                </c:pt>
                <c:pt idx="6">
                  <c:v>34.880000000000003</c:v>
                </c:pt>
                <c:pt idx="7">
                  <c:v>22.32</c:v>
                </c:pt>
                <c:pt idx="8">
                  <c:v>7.56</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'Grafer-energi'!$C$62:$L$62</c:f>
              <c:numCache>
                <c:formatCode>_(* #,##0.0_);_(* \(#,##0.0\);_(* "-"??_);_(@_)</c:formatCode>
                <c:ptCount val="10"/>
                <c:pt idx="0">
                  <c:v>11.476149986293489</c:v>
                </c:pt>
                <c:pt idx="2">
                  <c:v>32.907571019564855</c:v>
                </c:pt>
                <c:pt idx="3">
                  <c:v>36.936104334720852</c:v>
                </c:pt>
                <c:pt idx="4">
                  <c:v>37.390907808844645</c:v>
                </c:pt>
                <c:pt idx="5">
                  <c:v>44.438333483438036</c:v>
                </c:pt>
                <c:pt idx="6">
                  <c:v>52.454211794776576</c:v>
                </c:pt>
                <c:pt idx="7">
                  <c:v>53.129052825390254</c:v>
                </c:pt>
                <c:pt idx="8">
                  <c:v>52.680777314345661</c:v>
                </c:pt>
                <c:pt idx="9">
                  <c:v>74.421900708715469</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580032728"/>
        <c:crosses val="autoZero"/>
        <c:auto val="1"/>
        <c:lblAlgn val="ctr"/>
        <c:lblOffset val="100"/>
        <c:noMultiLvlLbl val="0"/>
      </c:catAx>
      <c:valAx>
        <c:axId val="580032728"/>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1058.3418046031761</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90.964445233516713</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0</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192.80220000000006</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945.45</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35.5</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-23.359213482718847</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1059.4285412837644</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90.964445233516713</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0</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1.9259999999999999E-2</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0</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31.065800000000003</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0</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0</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161.7364</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945.45</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35.5</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0</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-23.359213482718847</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638.12599742399993</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165.15446257599996</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33.700000000000003</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281.46629999999999</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472.17815999999999</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0</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57.036000000000001</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26.3</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638.12599742399993</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165.15446257599996</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33.700000000000003</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1.9259999999999999E-2</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0</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0</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119.2098</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0</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0</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634.41540000000009</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0</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57.036000000000001</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26.3</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'Grafer-energi'!$C$152:$L$152</c:f>
              <c:numCache>
                <c:formatCode>#,##0</c:formatCode>
                <c:ptCount val="10"/>
                <c:pt idx="0">
                  <c:v>708.91875270154026</c:v>
                </c:pt>
                <c:pt idx="2">
                  <c:v>35.311778887828353</c:v>
                </c:pt>
                <c:pt idx="3">
                  <c:v>434.09936210217552</c:v>
                </c:pt>
                <c:pt idx="4">
                  <c:v>279.74294406787817</c:v>
                </c:pt>
                <c:pt idx="5">
                  <c:v>151.20961492983287</c:v>
                </c:pt>
                <c:pt idx="6">
                  <c:v>-270.90177626901021</c:v>
                </c:pt>
                <c:pt idx="7">
                  <c:v>-188.86813638540309</c:v>
                </c:pt>
                <c:pt idx="8">
                  <c:v>-131.98567831968447</c:v>
                </c:pt>
                <c:pt idx="9">
                  <c:v>-23.359213482718847</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'Grafer-energi'!$C$153:$L$153</c:f>
              <c:numCache>
                <c:formatCode>#,##0</c:formatCode>
                <c:ptCount val="10"/>
                <c:pt idx="0">
                  <c:v>263.39999999999998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'Grafer-energi'!$C$154:$L$154</c:f>
              <c:numCache>
                <c:formatCode>#,##0</c:formatCode>
                <c:ptCount val="10"/>
                <c:pt idx="0">
                  <c:v>5230.3234019744623</c:v>
                </c:pt>
                <c:pt idx="2">
                  <c:v>4828.8248587109847</c:v>
                </c:pt>
                <c:pt idx="3">
                  <c:v>4479.5540540570182</c:v>
                </c:pt>
                <c:pt idx="4">
                  <c:v>4438.8582413328513</c:v>
                </c:pt>
                <c:pt idx="5">
                  <c:v>3810.9348401823081</c:v>
                </c:pt>
                <c:pt idx="6">
                  <c:v>3480.0263722838527</c:v>
                </c:pt>
                <c:pt idx="7">
                  <c:v>3268.3826037653844</c:v>
                </c:pt>
                <c:pt idx="8">
                  <c:v>3158.6857844189881</c:v>
                </c:pt>
                <c:pt idx="9">
                  <c:v>1581.5638191464805</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'Grafer-energi'!$C$155:$L$155</c:f>
              <c:numCache>
                <c:formatCode>#,##0</c:formatCode>
                <c:ptCount val="10"/>
                <c:pt idx="0">
                  <c:v>22.41</c:v>
                </c:pt>
                <c:pt idx="2">
                  <c:v>0</c:v>
                </c:pt>
                <c:pt idx="3">
                  <c:v>0</c:v>
                </c:pt>
                <c:pt idx="4">
                  <c:v>0</c:v>
                </c:pt>
                <c:pt idx="5">
                  <c:v>0</c:v>
                </c:pt>
                <c:pt idx="6">
                  <c:v>0</c:v>
                </c:pt>
                <c:pt idx="7">
                  <c:v>0.1</c:v>
                </c:pt>
                <c:pt idx="8">
                  <c:v>0</c:v>
                </c:pt>
                <c:pt idx="9">
                  <c:v>0</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'Grafer-energi'!$C$156:$L$156</c:f>
              <c:numCache>
                <c:formatCode>#,##0</c:formatCode>
                <c:ptCount val="10"/>
                <c:pt idx="0">
                  <c:v>27.39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'Grafer-energi'!$C$157:$L$157</c:f>
              <c:numCache>
                <c:formatCode>#,##0</c:formatCode>
                <c:ptCount val="10"/>
                <c:pt idx="0">
                  <c:v>93.16</c:v>
                </c:pt>
                <c:pt idx="2">
                  <c:v>735.5507037092118</c:v>
                </c:pt>
                <c:pt idx="3">
                  <c:v>605.02615399936406</c:v>
                </c:pt>
                <c:pt idx="4">
                  <c:v>738.14966666666658</c:v>
                </c:pt>
                <c:pt idx="5">
                  <c:v>828.9666666666667</c:v>
                </c:pt>
                <c:pt idx="6">
                  <c:v>1298.1196</c:v>
                </c:pt>
                <c:pt idx="7">
                  <c:v>1297.2518600000001</c:v>
                </c:pt>
                <c:pt idx="8">
                  <c:v>1235.5567000000001</c:v>
                </c:pt>
                <c:pt idx="9">
                  <c:v>2446.5174000000006</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'Grafer-energi'!$C$158:$L$158</c:f>
              <c:numCache>
                <c:formatCode>#,##0</c:formatCode>
                <c:ptCount val="10"/>
                <c:pt idx="0">
                  <c:v>686.45999999999992</c:v>
                </c:pt>
                <c:pt idx="2">
                  <c:v>1629.3887770867709</c:v>
                </c:pt>
                <c:pt idx="3">
                  <c:v>2252.040177489192</c:v>
                </c:pt>
                <c:pt idx="4">
                  <c:v>2079.8560851392676</c:v>
                </c:pt>
                <c:pt idx="5">
                  <c:v>2339.9644983721741</c:v>
                </c:pt>
                <c:pt idx="6">
                  <c:v>2172.2660782618573</c:v>
                </c:pt>
                <c:pt idx="7">
                  <c:v>2032.6336293495688</c:v>
                </c:pt>
                <c:pt idx="8">
                  <c:v>1970.4564663357473</c:v>
                </c:pt>
                <c:pt idx="9">
                  <c:v>2087.226375327562</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'Grafer-energi'!$C$191:$L$191</c:f>
              <c:numCache>
                <c:formatCode>#,##0</c:formatCode>
                <c:ptCount val="10"/>
                <c:pt idx="0">
                  <c:v>14.852375871059484</c:v>
                </c:pt>
                <c:pt idx="2">
                  <c:v>0.73042733095789247</c:v>
                </c:pt>
                <c:pt idx="3">
                  <c:v>8.9875644327572566</c:v>
                </c:pt>
                <c:pt idx="4">
                  <c:v>5.8296783242587038</c:v>
                </c:pt>
                <c:pt idx="5">
                  <c:v>3.1974290019207223</c:v>
                </c:pt>
                <c:pt idx="6">
                  <c:v>-5.8082325908323194</c:v>
                </c:pt>
                <c:pt idx="7">
                  <c:v>-4.0581894367297613</c:v>
                </c:pt>
                <c:pt idx="8">
                  <c:v>-2.8323714740591956</c:v>
                </c:pt>
                <c:pt idx="9">
                  <c:v>-0.50945919353381275</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'Grafer-energi'!$C$192:$L$192</c:f>
              <c:numCache>
                <c:formatCode>#,##0</c:formatCode>
                <c:ptCount val="10"/>
                <c:pt idx="0">
                  <c:v>5.5184261800506995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'Grafer-energi'!$C$193:$L$193</c:f>
              <c:numCache>
                <c:formatCode>#,##0</c:formatCode>
                <c:ptCount val="10"/>
                <c:pt idx="0">
                  <c:v>109.57917081088731</c:v>
                </c:pt>
                <c:pt idx="2">
                  <c:v>99.884677699631482</c:v>
                </c:pt>
                <c:pt idx="3">
                  <c:v>92.744390353147367</c:v>
                </c:pt>
                <c:pt idx="4">
                  <c:v>92.503193459193341</c:v>
                </c:pt>
                <c:pt idx="5">
                  <c:v>80.584780194588987</c:v>
                </c:pt>
                <c:pt idx="6">
                  <c:v>74.613030858769164</c:v>
                </c:pt>
                <c:pt idx="7">
                  <c:v>70.227387274718183</c:v>
                </c:pt>
                <c:pt idx="8">
                  <c:v>67.784411348290476</c:v>
                </c:pt>
                <c:pt idx="9">
                  <c:v>34.493551267071176</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'Grafer-energi'!$C$194:$L$194</c:f>
              <c:numCache>
                <c:formatCode>#,##0</c:formatCode>
                <c:ptCount val="10"/>
                <c:pt idx="0">
                  <c:v>0.46950619094508811</c:v>
                </c:pt>
                <c:pt idx="2">
                  <c:v>0</c:v>
                </c:pt>
                <c:pt idx="3">
                  <c:v>0</c:v>
                </c:pt>
                <c:pt idx="4">
                  <c:v>0</c:v>
                </c:pt>
                <c:pt idx="5">
                  <c:v>0</c:v>
                </c:pt>
                <c:pt idx="6">
                  <c:v>0</c:v>
                </c:pt>
                <c:pt idx="7">
                  <c:v>2.1486892995272885E-3</c:v>
                </c:pt>
                <c:pt idx="8">
                  <c:v>0</c:v>
                </c:pt>
                <c:pt idx="9">
                  <c:v>0</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'Grafer-energi'!$C$195:$L$195</c:f>
              <c:numCache>
                <c:formatCode>#,##0</c:formatCode>
                <c:ptCount val="10"/>
                <c:pt idx="0">
                  <c:v>0.57384090004399668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'Grafer-energi'!$C$196:$L$196</c:f>
              <c:numCache>
                <c:formatCode>#,##0</c:formatCode>
                <c:ptCount val="10"/>
                <c:pt idx="0">
                  <c:v>1.9517713854727534</c:v>
                </c:pt>
                <c:pt idx="2">
                  <c:v>15.214932643331371</c:v>
                </c:pt>
                <c:pt idx="3">
                  <c:v>12.526421407854327</c:v>
                </c:pt>
                <c:pt idx="4">
                  <c:v>15.382604648578056</c:v>
                </c:pt>
                <c:pt idx="5">
                  <c:v>17.529057678346128</c:v>
                </c:pt>
                <c:pt idx="6">
                  <c:v>27.832156257370126</c:v>
                </c:pt>
                <c:pt idx="7">
                  <c:v>27.873911903738719</c:v>
                </c:pt>
                <c:pt idx="8">
                  <c:v>26.514661258825299</c:v>
                </c:pt>
                <c:pt idx="9">
                  <c:v>53.357994373078029</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'Grafer-energi'!$C$197:$L$197</c:f>
              <c:numCache>
                <c:formatCode>#,##0</c:formatCode>
                <c:ptCount val="10"/>
                <c:pt idx="0">
                  <c:v>14.381848274706165</c:v>
                </c:pt>
                <c:pt idx="2">
                  <c:v>33.704053803714437</c:v>
                </c:pt>
                <c:pt idx="3">
                  <c:v>46.626090631246207</c:v>
                </c:pt>
                <c:pt idx="4">
                  <c:v>43.34297680863726</c:v>
                </c:pt>
                <c:pt idx="5">
                  <c:v>49.480123033392701</c:v>
                </c:pt>
                <c:pt idx="6">
                  <c:v>46.574174615935711</c:v>
                </c:pt>
                <c:pt idx="7">
                  <c:v>43.674981292427347</c:v>
                </c:pt>
                <c:pt idx="8">
                  <c:v>42.285380938126295</c:v>
                </c:pt>
                <c:pt idx="9">
                  <c:v>45.521937914714229</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'Grafer-energi'!$C$377:$L$377</c:f>
              <c:numCache>
                <c:formatCode>#,##0</c:formatCode>
                <c:ptCount val="10"/>
                <c:pt idx="0">
                  <c:v>2677.0099999999993</c:v>
                </c:pt>
                <c:pt idx="2">
                  <c:v>1922.6207662292118</c:v>
                </c:pt>
                <c:pt idx="3">
                  <c:v>2105.9739539993639</c:v>
                </c:pt>
                <c:pt idx="4">
                  <c:v>1760.7666666666667</c:v>
                </c:pt>
                <c:pt idx="5">
                  <c:v>1903.9666666666667</c:v>
                </c:pt>
                <c:pt idx="6">
                  <c:v>1705.6</c:v>
                </c:pt>
                <c:pt idx="7">
                  <c:v>1408.9</c:v>
                </c:pt>
                <c:pt idx="8">
                  <c:v>1361.9</c:v>
                </c:pt>
                <c:pt idx="9">
                  <c:v>1296.21</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'Grafer-energi'!$C$378:$L$378</c:f>
              <c:numCache>
                <c:formatCode>#,##0</c:formatCode>
                <c:ptCount val="10"/>
                <c:pt idx="0">
                  <c:v>660.19999999999993</c:v>
                </c:pt>
                <c:pt idx="2">
                  <c:v>1183.3700000000001</c:v>
                </c:pt>
                <c:pt idx="3">
                  <c:v>1252.31</c:v>
                </c:pt>
                <c:pt idx="4">
                  <c:v>1273.5</c:v>
                </c:pt>
                <c:pt idx="5">
                  <c:v>1212.4000000000001</c:v>
                </c:pt>
                <c:pt idx="6">
                  <c:v>1065.9000000000001</c:v>
                </c:pt>
                <c:pt idx="7">
                  <c:v>1127.9000000000001</c:v>
                </c:pt>
                <c:pt idx="8">
                  <c:v>1120.1999999999998</c:v>
                </c:pt>
                <c:pt idx="9">
                  <c:v>1199.42</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'Grafer-energi'!$C$379:$L$379</c:f>
              <c:numCache>
                <c:formatCode>#,##0</c:formatCode>
                <c:ptCount val="10"/>
                <c:pt idx="0">
                  <c:v>1080.6199999999999</c:v>
                </c:pt>
                <c:pt idx="2">
                  <c:v>821.48585708000007</c:v>
                </c:pt>
                <c:pt idx="3">
                  <c:v>931.03</c:v>
                </c:pt>
                <c:pt idx="4">
                  <c:v>1012.5</c:v>
                </c:pt>
                <c:pt idx="5">
                  <c:v>807.1</c:v>
                </c:pt>
                <c:pt idx="6">
                  <c:v>821.44</c:v>
                </c:pt>
                <c:pt idx="7">
                  <c:v>896.76</c:v>
                </c:pt>
                <c:pt idx="8">
                  <c:v>890.80000000000018</c:v>
                </c:pt>
                <c:pt idx="9">
                  <c:v>949.76</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'Grafer-energi'!$C$380:$L$380</c:f>
              <c:numCache>
                <c:formatCode>#,##0</c:formatCode>
                <c:ptCount val="10"/>
                <c:pt idx="0">
                  <c:v>1813.2534019744633</c:v>
                </c:pt>
                <c:pt idx="2">
                  <c:v>2579.435516197756</c:v>
                </c:pt>
                <c:pt idx="3">
                  <c:v>2491.7242315462095</c:v>
                </c:pt>
                <c:pt idx="4">
                  <c:v>2551.7143264721185</c:v>
                </c:pt>
                <c:pt idx="5">
                  <c:v>2286.6993385544829</c:v>
                </c:pt>
                <c:pt idx="6">
                  <c:v>2248.8072505457089</c:v>
                </c:pt>
                <c:pt idx="7">
                  <c:v>2257.8204131149532</c:v>
                </c:pt>
                <c:pt idx="8">
                  <c:v>2158.4293507547354</c:v>
                </c:pt>
                <c:pt idx="9">
                  <c:v>1688.9675944740432</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'Grafer-energi'!$C$381:$L$381</c:f>
              <c:numCache>
                <c:formatCode>#,##0</c:formatCode>
                <c:ptCount val="10"/>
                <c:pt idx="0">
                  <c:v>92.06</c:v>
                </c:pt>
                <c:pt idx="2">
                  <c:v>707.68</c:v>
                </c:pt>
                <c:pt idx="3">
                  <c:v>576.41</c:v>
                </c:pt>
                <c:pt idx="4">
                  <c:v>658.38299999999992</c:v>
                </c:pt>
                <c:pt idx="5">
                  <c:v>769.7</c:v>
                </c:pt>
                <c:pt idx="6">
                  <c:v>1178.7</c:v>
                </c:pt>
                <c:pt idx="7">
                  <c:v>1067.8999999999999</c:v>
                </c:pt>
                <c:pt idx="8">
                  <c:v>997</c:v>
                </c:pt>
                <c:pt idx="9">
                  <c:v>980.95</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'Grafer-energi'!$C$382:$L$382</c:f>
              <c:numCache>
                <c:formatCode>#,##0</c:formatCode>
                <c:ptCount val="10"/>
                <c:pt idx="0">
                  <c:v>708.91875270154026</c:v>
                </c:pt>
                <c:pt idx="2">
                  <c:v>35.311778887828353</c:v>
                </c:pt>
                <c:pt idx="3">
                  <c:v>434.09936210217552</c:v>
                </c:pt>
                <c:pt idx="4">
                  <c:v>279.74294406787817</c:v>
                </c:pt>
                <c:pt idx="5">
                  <c:v>151.2096149298329</c:v>
                </c:pt>
                <c:pt idx="6">
                  <c:v>-270.90177626901021</c:v>
                </c:pt>
                <c:pt idx="7">
                  <c:v>-188.86813638540309</c:v>
                </c:pt>
                <c:pt idx="8">
                  <c:v>-131.98567831968447</c:v>
                </c:pt>
                <c:pt idx="9">
                  <c:v>-23.359213482718847</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0.18555029678634005</c:v>
                </c:pt>
                <c:pt idx="1">
                  <c:v>0.9248583733384822</c:v>
                </c:pt>
                <c:pt idx="2">
                  <c:v>0.26960012117540144</c:v>
                </c:pt>
                <c:pt idx="3">
                  <c:v>1.0347908587909469</c:v>
                </c:pt>
                <c:pt idx="4">
                  <c:v>3.723788195665452E-2</c:v>
                </c:pt>
                <c:pt idx="5">
                  <c:v>1.0745877653763989</c:v>
                </c:pt>
                <c:pt idx="6">
                  <c:v>0</c:v>
                </c:pt>
                <c:pt idx="7">
                  <c:v>5.4609558898188561E-2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0.81444970321365984</c:v>
                </c:pt>
                <c:pt idx="1">
                  <c:v>7.5141626661517844E-2</c:v>
                </c:pt>
                <c:pt idx="2">
                  <c:v>0.73039987882459856</c:v>
                </c:pt>
                <c:pt idx="3">
                  <c:v>-3.4790858790946837E-2</c:v>
                </c:pt>
                <c:pt idx="4">
                  <c:v>0.96276211804334544</c:v>
                </c:pt>
                <c:pt idx="5">
                  <c:v>-7.4587765376398815E-2</c:v>
                </c:pt>
                <c:pt idx="6">
                  <c:v>1</c:v>
                </c:pt>
                <c:pt idx="7">
                  <c:v>0.94539044110181136</c:v>
                </c:pt>
                <c:pt idx="8">
                  <c:v>0</c:v>
                </c:pt>
                <c:pt idx="9">
                  <c:v>0</c:v>
                </c:pt>
                <c:pt idx="10">
                  <c:v>1</c:v>
                </c:pt>
                <c:pt idx="11">
                  <c:v>0.4113</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da-DK"/>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'Grafer-energi'!$F$551:$F$560</c:f>
              <c:numCache>
                <c:formatCode>0%</c:formatCode>
                <c:ptCount val="10"/>
                <c:pt idx="0">
                  <c:v>0.26960012117540144</c:v>
                </c:pt>
                <c:pt idx="2">
                  <c:v>0.44810160811918498</c:v>
                </c:pt>
                <c:pt idx="3">
                  <c:v>0.74578179524239208</c:v>
                </c:pt>
                <c:pt idx="4">
                  <c:v>0.66493914409108756</c:v>
                </c:pt>
                <c:pt idx="5">
                  <c:v>0.78612669086110187</c:v>
                </c:pt>
                <c:pt idx="6">
                  <c:v>0.86034947493430503</c:v>
                </c:pt>
                <c:pt idx="8">
                  <c:v>0.8641728891675956</c:v>
                </c:pt>
                <c:pt idx="9">
                  <c:v>1.0347908587909469</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'Grafer-energi'!$G$551:$G$560</c:f>
              <c:numCache>
                <c:formatCode>0%</c:formatCode>
                <c:ptCount val="10"/>
                <c:pt idx="0">
                  <c:v>0.73039987882459856</c:v>
                </c:pt>
                <c:pt idx="2">
                  <c:v>0.55189839188081502</c:v>
                </c:pt>
                <c:pt idx="3">
                  <c:v>0.25421820475760798</c:v>
                </c:pt>
                <c:pt idx="4">
                  <c:v>0.33506085590891249</c:v>
                </c:pt>
                <c:pt idx="5">
                  <c:v>0.2138733091388981</c:v>
                </c:pt>
                <c:pt idx="6">
                  <c:v>0.13965052506569497</c:v>
                </c:pt>
                <c:pt idx="8">
                  <c:v>0.13582711083240442</c:v>
                </c:pt>
                <c:pt idx="9">
                  <c:v>-3.4790858790946837E-2</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da-DK"/>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'Grafer-energi'!$C$728:$L$728</c:f>
              <c:numCache>
                <c:formatCode>#,##0</c:formatCode>
                <c:ptCount val="10"/>
                <c:pt idx="0">
                  <c:v>168.72266314296658</c:v>
                </c:pt>
                <c:pt idx="2">
                  <c:v>7.8176747279763186</c:v>
                </c:pt>
                <c:pt idx="3">
                  <c:v>91.338846779918754</c:v>
                </c:pt>
                <c:pt idx="4">
                  <c:v>49.240353014827917</c:v>
                </c:pt>
                <c:pt idx="5">
                  <c:v>24.193538388773263</c:v>
                </c:pt>
                <c:pt idx="6">
                  <c:v>-32.884766621295149</c:v>
                </c:pt>
                <c:pt idx="7">
                  <c:v>-20.949253687868911</c:v>
                </c:pt>
                <c:pt idx="8">
                  <c:v>-16.382062393039238</c:v>
                </c:pt>
                <c:pt idx="9">
                  <c:v>-1.8042995758085667</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'Grafer-energi'!$C$729:$L$729</c:f>
              <c:numCache>
                <c:formatCode>#,##0</c:formatCode>
                <c:ptCount val="10"/>
                <c:pt idx="0">
                  <c:v>24.812279999999998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'Grafer-energi'!$C$730:$L$730</c:f>
              <c:numCache>
                <c:formatCode>#,##0</c:formatCode>
                <c:ptCount val="10"/>
                <c:pt idx="0">
                  <c:v>374.80342280488844</c:v>
                </c:pt>
                <c:pt idx="2">
                  <c:v>330.57290872199138</c:v>
                </c:pt>
                <c:pt idx="3">
                  <c:v>309.31912390891819</c:v>
                </c:pt>
                <c:pt idx="4">
                  <c:v>304.49358188134187</c:v>
                </c:pt>
                <c:pt idx="5">
                  <c:v>261.33918676265313</c:v>
                </c:pt>
                <c:pt idx="6">
                  <c:v>241.53979968389743</c:v>
                </c:pt>
                <c:pt idx="7">
                  <c:v>224.91944151445836</c:v>
                </c:pt>
                <c:pt idx="8">
                  <c:v>217.00545069572507</c:v>
                </c:pt>
                <c:pt idx="9">
                  <c:v>119.78612796103172</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'Grafer-energi'!$C$731:$L$731</c:f>
              <c:numCache>
                <c:formatCode>#,##0</c:formatCode>
                <c:ptCount val="10"/>
                <c:pt idx="0">
                  <c:v>1.8425501999999998</c:v>
                </c:pt>
                <c:pt idx="2">
                  <c:v>0</c:v>
                </c:pt>
                <c:pt idx="3">
                  <c:v>0</c:v>
                </c:pt>
                <c:pt idx="4">
                  <c:v>0</c:v>
                </c:pt>
                <c:pt idx="5">
                  <c:v>0</c:v>
                </c:pt>
                <c:pt idx="6">
                  <c:v>0</c:v>
                </c:pt>
                <c:pt idx="7">
                  <c:v>9.444000000000001E-3</c:v>
                </c:pt>
                <c:pt idx="8">
                  <c:v>0</c:v>
                </c:pt>
                <c:pt idx="9">
                  <c:v>0</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'Grafer-energi'!$C$735:$L$735</c:f>
              <c:numCache>
                <c:formatCode>#,##0</c:formatCode>
                <c:ptCount val="10"/>
                <c:pt idx="0">
                  <c:v>0</c:v>
                </c:pt>
                <c:pt idx="2">
                  <c:v>0</c:v>
                </c:pt>
                <c:pt idx="3">
                  <c:v>0</c:v>
                </c:pt>
                <c:pt idx="4">
                  <c:v>0</c:v>
                </c:pt>
                <c:pt idx="5">
                  <c:v>0</c:v>
                </c:pt>
                <c:pt idx="6">
                  <c:v>0</c:v>
                </c:pt>
                <c:pt idx="7">
                  <c:v>0</c:v>
                </c:pt>
                <c:pt idx="8">
                  <c:v>0</c:v>
                </c:pt>
                <c:pt idx="9">
                  <c:v>-10.369319082106047</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c:ext uri="{02D57815-91ED-43cb-92C2-25804820EDAC}">
                        <c15:formulaRef>
                          <c15:sqref>'Grafer-energi'!$C$732:$L$732</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'Grafer-energi'!$C$733:$L$733</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'Grafer-energi'!$C$734:$L$734</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'Grafer-energi'!$C$799:$L$799</c:f>
              <c:numCache>
                <c:formatCode>#,##0.0</c:formatCode>
                <c:ptCount val="10"/>
                <c:pt idx="0">
                  <c:v>3.5348654573121574</c:v>
                </c:pt>
                <c:pt idx="2">
                  <c:v>0.16170930680076778</c:v>
                </c:pt>
                <c:pt idx="3">
                  <c:v>1.8910734322964546</c:v>
                </c:pt>
                <c:pt idx="4">
                  <c:v>1.0261399786360172</c:v>
                </c:pt>
                <c:pt idx="5">
                  <c:v>0.51158864030731566</c:v>
                </c:pt>
                <c:pt idx="6">
                  <c:v>-0.70506135420113525</c:v>
                </c:pt>
                <c:pt idx="7">
                  <c:v>-0.45013437232206516</c:v>
                </c:pt>
                <c:pt idx="8">
                  <c:v>-0.35155394736022744</c:v>
                </c:pt>
                <c:pt idx="9">
                  <c:v>-3.935136803578039E-2</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'Grafer-energi'!$C$800:$L$800</c:f>
              <c:numCache>
                <c:formatCode>#,##0.0</c:formatCode>
                <c:ptCount val="10"/>
                <c:pt idx="0">
                  <c:v>0.51983574616077588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'Grafer-energi'!$C$801:$L$801</c:f>
              <c:numCache>
                <c:formatCode>#,##0.0</c:formatCode>
                <c:ptCount val="10"/>
                <c:pt idx="0">
                  <c:v>7.8524108609685213</c:v>
                </c:pt>
                <c:pt idx="2">
                  <c:v>6.8379304302910677</c:v>
                </c:pt>
                <c:pt idx="3">
                  <c:v>6.4041226482177676</c:v>
                </c:pt>
                <c:pt idx="4">
                  <c:v>6.3454670504176613</c:v>
                </c:pt>
                <c:pt idx="5">
                  <c:v>5.5261928646603611</c:v>
                </c:pt>
                <c:pt idx="6">
                  <c:v>5.1787011359940278</c:v>
                </c:pt>
                <c:pt idx="7">
                  <c:v>4.8328199723777034</c:v>
                </c:pt>
                <c:pt idx="8">
                  <c:v>4.6568692610512041</c:v>
                </c:pt>
                <c:pt idx="9">
                  <c:v>2.6125085158673031</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'Grafer-energi'!$C$802:$L$802</c:f>
              <c:numCache>
                <c:formatCode>#,##0.0</c:formatCode>
                <c:ptCount val="10"/>
                <c:pt idx="0">
                  <c:v>3.8602799019505141E-2</c:v>
                </c:pt>
                <c:pt idx="2">
                  <c:v>0</c:v>
                </c:pt>
                <c:pt idx="3">
                  <c:v>0</c:v>
                </c:pt>
                <c:pt idx="4">
                  <c:v>0</c:v>
                </c:pt>
                <c:pt idx="5">
                  <c:v>0</c:v>
                </c:pt>
                <c:pt idx="6">
                  <c:v>0</c:v>
                </c:pt>
                <c:pt idx="7">
                  <c:v>2.0292221744735712E-4</c:v>
                </c:pt>
                <c:pt idx="8">
                  <c:v>0</c:v>
                </c:pt>
                <c:pt idx="9">
                  <c:v>0</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da-DK"/>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121011.45212921014</c:v>
                </c:pt>
                <c:pt idx="1">
                  <c:v>83180.396155032271</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189628.16069912384</c:v>
                </c:pt>
                <c:pt idx="1">
                  <c:v>185402.4428501619</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8104.8169920675109</c:v>
                </c:pt>
                <c:pt idx="1">
                  <c:v>7408.4888479262117</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130526.74380488847</c:v>
                </c:pt>
                <c:pt idx="1">
                  <c:v>151924.22756036842</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439654.17234296654</c:v>
                </c:pt>
                <c:pt idx="1">
                  <c:v>48699.160742317428</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146189.56859972127</c:v>
                </c:pt>
                <c:pt idx="1">
                  <c:v>149312.12226576798</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14178.537059804121</c:v>
                </c:pt>
                <c:pt idx="1">
                  <c:v>9198.7460788062872</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105230.22826926709</c:v>
                </c:pt>
                <c:pt idx="1">
                  <c:v>80172.214580894812</c:v>
                </c:pt>
                <c:pt idx="2">
                  <c:v>14569.773428571429</c:v>
                </c:pt>
                <c:pt idx="3">
                  <c:v>3551.2587628571428</c:v>
                </c:pt>
                <c:pt idx="4">
                  <c:v>7912.7946385714285</c:v>
                </c:pt>
                <c:pt idx="5">
                  <c:v>18.043048571428574</c:v>
                </c:pt>
                <c:pt idx="6">
                  <c:v>10041.620786314352</c:v>
                </c:pt>
                <c:pt idx="7">
                  <c:v>17387.678031428575</c:v>
                </c:pt>
                <c:pt idx="8">
                  <c:v>24813.888691428572</c:v>
                </c:pt>
                <c:pt idx="9">
                  <c:v>2906.2318241705912</c:v>
                </c:pt>
                <c:pt idx="10">
                  <c:v>4058.576485975881</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1283.6640562588968</c:v>
                </c:pt>
                <c:pt idx="1">
                  <c:v>9.4505939099365062</c:v>
                </c:pt>
                <c:pt idx="2" formatCode="0">
                  <c:v>0.95621523540672904</c:v>
                </c:pt>
                <c:pt idx="3">
                  <c:v>1270.2266558406068</c:v>
                </c:pt>
                <c:pt idx="4">
                  <c:v>0</c:v>
                </c:pt>
                <c:pt idx="5">
                  <c:v>4661.1508495930511</c:v>
                </c:pt>
                <c:pt idx="6">
                  <c:v>183.04047708831271</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1283.6640562588968</c:v>
                </c:pt>
                <c:pt idx="1">
                  <c:v>9.4505939099365062</c:v>
                </c:pt>
                <c:pt idx="2">
                  <c:v>0.95621523540672904</c:v>
                </c:pt>
                <c:pt idx="3">
                  <c:v>1265.0013239776338</c:v>
                </c:pt>
                <c:pt idx="4">
                  <c:v>0</c:v>
                </c:pt>
                <c:pt idx="5">
                  <c:v>0</c:v>
                </c:pt>
                <c:pt idx="6">
                  <c:v>1.9857403055279745</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0.16278263930079412</c:v>
                </c:pt>
                <c:pt idx="4">
                  <c:v>0</c:v>
                </c:pt>
                <c:pt idx="5">
                  <c:v>0</c:v>
                </c:pt>
                <c:pt idx="6">
                  <c:v>0.57528107857110267</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3.8784089948096937E-3</c:v>
                </c:pt>
                <c:pt idx="4">
                  <c:v>0</c:v>
                </c:pt>
                <c:pt idx="5">
                  <c:v>0</c:v>
                </c:pt>
                <c:pt idx="6">
                  <c:v>0.55930439536411802</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4661.1508495930511</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8074.2653325694801</c:v>
                </c:pt>
                <c:pt idx="1">
                  <c:v>964.65335386871925</c:v>
                </c:pt>
                <c:pt idx="2">
                  <c:v>159.82739236808726</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'Grafer-energi'!$M$377:$AF$377</c:f>
              <c:numCache>
                <c:formatCode>#,##0</c:formatCode>
                <c:ptCount val="20"/>
                <c:pt idx="0">
                  <c:v>496.72</c:v>
                </c:pt>
                <c:pt idx="2">
                  <c:v>1123.6285037092118</c:v>
                </c:pt>
                <c:pt idx="3">
                  <c:v>1311.9739539993641</c:v>
                </c:pt>
                <c:pt idx="4">
                  <c:v>1134.7666666666667</c:v>
                </c:pt>
                <c:pt idx="5">
                  <c:v>1290.9666666666667</c:v>
                </c:pt>
                <c:pt idx="6">
                  <c:v>1205.496867710443</c:v>
                </c:pt>
                <c:pt idx="7">
                  <c:v>1034.5299903969271</c:v>
                </c:pt>
                <c:pt idx="8">
                  <c:v>996.46757499797855</c:v>
                </c:pt>
                <c:pt idx="9">
                  <c:v>1198.810672105074</c:v>
                </c:pt>
                <c:pt idx="10">
                  <c:v>2180.2899999999991</c:v>
                </c:pt>
                <c:pt idx="12">
                  <c:v>798.99226251999994</c:v>
                </c:pt>
                <c:pt idx="13">
                  <c:v>793.99999999999977</c:v>
                </c:pt>
                <c:pt idx="14">
                  <c:v>626</c:v>
                </c:pt>
                <c:pt idx="15">
                  <c:v>613</c:v>
                </c:pt>
                <c:pt idx="16">
                  <c:v>500.10313228955692</c:v>
                </c:pt>
                <c:pt idx="17">
                  <c:v>374.37000960307296</c:v>
                </c:pt>
                <c:pt idx="18">
                  <c:v>365.43242500202155</c:v>
                </c:pt>
                <c:pt idx="19">
                  <c:v>97.399327894926046</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'Grafer-energi'!$M$378:$AF$378</c:f>
              <c:numCache>
                <c:formatCode>#,##0</c:formatCode>
                <c:ptCount val="20"/>
                <c:pt idx="0">
                  <c:v>177.99</c:v>
                </c:pt>
                <c:pt idx="2">
                  <c:v>530.27</c:v>
                </c:pt>
                <c:pt idx="3">
                  <c:v>933.94999999999993</c:v>
                </c:pt>
                <c:pt idx="4">
                  <c:v>846.8</c:v>
                </c:pt>
                <c:pt idx="5">
                  <c:v>953.1</c:v>
                </c:pt>
                <c:pt idx="6">
                  <c:v>917.04650533247582</c:v>
                </c:pt>
                <c:pt idx="7">
                  <c:v>984.46669174135718</c:v>
                </c:pt>
                <c:pt idx="8">
                  <c:v>968.04647044554042</c:v>
                </c:pt>
                <c:pt idx="9">
                  <c:v>1241.1488518510375</c:v>
                </c:pt>
                <c:pt idx="10">
                  <c:v>482.20999999999992</c:v>
                </c:pt>
                <c:pt idx="12">
                  <c:v>653.10000000000014</c:v>
                </c:pt>
                <c:pt idx="13">
                  <c:v>318.36</c:v>
                </c:pt>
                <c:pt idx="14">
                  <c:v>426.70000000000005</c:v>
                </c:pt>
                <c:pt idx="15">
                  <c:v>259.30000000000007</c:v>
                </c:pt>
                <c:pt idx="16">
                  <c:v>148.85349466752427</c:v>
                </c:pt>
                <c:pt idx="17">
                  <c:v>143.43330825864291</c:v>
                </c:pt>
                <c:pt idx="18">
                  <c:v>152.1535295544594</c:v>
                </c:pt>
                <c:pt idx="19">
                  <c:v>-41.728851851037462</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'Grafer-energi'!$M$379:$AF$379</c:f>
              <c:numCache>
                <c:formatCode>#,##0</c:formatCode>
                <c:ptCount val="20"/>
                <c:pt idx="0">
                  <c:v>40.24</c:v>
                </c:pt>
                <c:pt idx="2">
                  <c:v>22.1</c:v>
                </c:pt>
                <c:pt idx="3">
                  <c:v>51.230000000000004</c:v>
                </c:pt>
                <c:pt idx="4">
                  <c:v>111.2</c:v>
                </c:pt>
                <c:pt idx="5">
                  <c:v>58.1</c:v>
                </c:pt>
                <c:pt idx="6">
                  <c:v>143.16662695708101</c:v>
                </c:pt>
                <c:pt idx="7">
                  <c:v>310.01331786171573</c:v>
                </c:pt>
                <c:pt idx="8">
                  <c:v>323.18595455648097</c:v>
                </c:pt>
                <c:pt idx="9">
                  <c:v>1020.6004760438885</c:v>
                </c:pt>
                <c:pt idx="10">
                  <c:v>1040.3799999999999</c:v>
                </c:pt>
                <c:pt idx="12">
                  <c:v>799.38585708000005</c:v>
                </c:pt>
                <c:pt idx="13">
                  <c:v>879.8</c:v>
                </c:pt>
                <c:pt idx="14">
                  <c:v>901.3</c:v>
                </c:pt>
                <c:pt idx="15">
                  <c:v>749</c:v>
                </c:pt>
                <c:pt idx="16">
                  <c:v>678.27337304291905</c:v>
                </c:pt>
                <c:pt idx="17">
                  <c:v>586.74668213828431</c:v>
                </c:pt>
                <c:pt idx="18">
                  <c:v>567.61404544351922</c:v>
                </c:pt>
                <c:pt idx="19">
                  <c:v>-70.840476043888543</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'Grafer-energi'!$M$380:$AF$380</c:f>
              <c:numCache>
                <c:formatCode>#,##0</c:formatCode>
                <c:ptCount val="20"/>
                <c:pt idx="0">
                  <c:v>0</c:v>
                </c:pt>
                <c:pt idx="2">
                  <c:v>2.0887770867710032</c:v>
                </c:pt>
                <c:pt idx="3">
                  <c:v>4.3301774891921285</c:v>
                </c:pt>
                <c:pt idx="4">
                  <c:v>66.856085139267236</c:v>
                </c:pt>
                <c:pt idx="5">
                  <c:v>97.064498372174171</c:v>
                </c:pt>
                <c:pt idx="6">
                  <c:v>96.010878261857215</c:v>
                </c:pt>
                <c:pt idx="7">
                  <c:v>93.887809349568855</c:v>
                </c:pt>
                <c:pt idx="8">
                  <c:v>84.943566335747391</c:v>
                </c:pt>
                <c:pt idx="9">
                  <c:v>92.233775327562114</c:v>
                </c:pt>
                <c:pt idx="10">
                  <c:v>1813.2534019744633</c:v>
                </c:pt>
                <c:pt idx="12">
                  <c:v>2577.3467391109848</c:v>
                </c:pt>
                <c:pt idx="13">
                  <c:v>2487.3940540570175</c:v>
                </c:pt>
                <c:pt idx="14">
                  <c:v>2484.8582413328513</c:v>
                </c:pt>
                <c:pt idx="15">
                  <c:v>2189.6348401823088</c:v>
                </c:pt>
                <c:pt idx="16">
                  <c:v>2152.7963722838517</c:v>
                </c:pt>
                <c:pt idx="17">
                  <c:v>2163.9326037653846</c:v>
                </c:pt>
                <c:pt idx="18">
                  <c:v>2073.4857844189883</c:v>
                </c:pt>
                <c:pt idx="19">
                  <c:v>1596.733819146481</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'Grafer-energi'!$M$381:$AF$381</c:f>
              <c:numCache>
                <c:formatCode>#,##0</c:formatCode>
                <c:ptCount val="20"/>
                <c:pt idx="0">
                  <c:v>92.06</c:v>
                </c:pt>
                <c:pt idx="2">
                  <c:v>707.68</c:v>
                </c:pt>
                <c:pt idx="3">
                  <c:v>576.41</c:v>
                </c:pt>
                <c:pt idx="4">
                  <c:v>658.38299999999992</c:v>
                </c:pt>
                <c:pt idx="5">
                  <c:v>769.7</c:v>
                </c:pt>
                <c:pt idx="6">
                  <c:v>1178.7</c:v>
                </c:pt>
                <c:pt idx="7">
                  <c:v>1067.8999999999999</c:v>
                </c:pt>
                <c:pt idx="8">
                  <c:v>997</c:v>
                </c:pt>
                <c:pt idx="9">
                  <c:v>980.95</c:v>
                </c:pt>
                <c:pt idx="10">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'Grafer-energi'!$M$382:$AF$382</c:f>
              <c:numCache>
                <c:formatCode>#,##0</c:formatCode>
                <c:ptCount val="20"/>
                <c:pt idx="0">
                  <c:v>0</c:v>
                </c:pt>
                <c:pt idx="2">
                  <c:v>3.8842956776611191</c:v>
                </c:pt>
                <c:pt idx="3">
                  <c:v>60.773910694304575</c:v>
                </c:pt>
                <c:pt idx="4">
                  <c:v>81.125453779684662</c:v>
                </c:pt>
                <c:pt idx="5">
                  <c:v>49.899172926844855</c:v>
                </c:pt>
                <c:pt idx="6">
                  <c:v>-111.06972827029418</c:v>
                </c:pt>
                <c:pt idx="7">
                  <c:v>-94.434068192701545</c:v>
                </c:pt>
                <c:pt idx="8">
                  <c:v>-58.073698460661163</c:v>
                </c:pt>
                <c:pt idx="9">
                  <c:v>-13.751568977276586</c:v>
                </c:pt>
                <c:pt idx="10">
                  <c:v>708.91875270154026</c:v>
                </c:pt>
                <c:pt idx="12">
                  <c:v>31.427483210167235</c:v>
                </c:pt>
                <c:pt idx="13">
                  <c:v>373.32545140787096</c:v>
                </c:pt>
                <c:pt idx="14">
                  <c:v>198.61749028819349</c:v>
                </c:pt>
                <c:pt idx="15">
                  <c:v>101.31044200298804</c:v>
                </c:pt>
                <c:pt idx="16">
                  <c:v>-159.83204799871604</c:v>
                </c:pt>
                <c:pt idx="17">
                  <c:v>-94.434068192701545</c:v>
                </c:pt>
                <c:pt idx="18">
                  <c:v>-73.911979859023305</c:v>
                </c:pt>
                <c:pt idx="19">
                  <c:v>-9.607644505442261</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da-DK"/>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da-DK"/>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da-DK"/>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121011.45212921014</c:v>
                </c:pt>
                <c:pt idx="1">
                  <c:v>189628.16069912384</c:v>
                </c:pt>
                <c:pt idx="2">
                  <c:v>8104.8169920675109</c:v>
                </c:pt>
                <c:pt idx="3">
                  <c:v>130526.74380488847</c:v>
                </c:pt>
                <c:pt idx="4">
                  <c:v>439654.17234296654</c:v>
                </c:pt>
                <c:pt idx="5">
                  <c:v>146189.56859972127</c:v>
                </c:pt>
                <c:pt idx="6">
                  <c:v>14178.537059804121</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3964.3507274043041</c:v>
                </c:pt>
                <c:pt idx="1">
                  <c:v>117345.90053903757</c:v>
                </c:pt>
                <c:pt idx="2">
                  <c:v>8165.4147241055907</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-2765.3664337209743</c:v>
                </c:pt>
                <c:pt idx="1">
                  <c:v>1284.2490757958312</c:v>
                </c:pt>
                <c:pt idx="2">
                  <c:v>652.10041108860594</c:v>
                </c:pt>
                <c:pt idx="3">
                  <c:v>0</c:v>
                </c:pt>
                <c:pt idx="4">
                  <c:v>1817.8156549445087</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43.07858592736951</c:v>
                </c:pt>
                <c:pt idx="2">
                  <c:v>6.7793850915404823</c:v>
                </c:pt>
                <c:pt idx="3" formatCode="General">
                  <c:v>0</c:v>
                </c:pt>
                <c:pt idx="4">
                  <c:v>698.39569644233461</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561.45822062499997</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131.19099593749999</c:v>
                </c:pt>
                <c:pt idx="1">
                  <c:v>2.8677187499999999</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1.1431834374999998</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9680.9997656249998</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pieChart>
        <c:varyColors val="1"/>
        <c:ser>
          <c:idx val="0"/>
          <c:order val="0"/>
          <c:tx>
            <c:strRef>
              <c:f>'Grafer-klima'!$D$31:$D$37</c:f>
              <c:strCache>
                <c:ptCount val="7"/>
                <c:pt idx="0">
                  <c:v>83.180</c:v>
                </c:pt>
                <c:pt idx="1">
                  <c:v>185.402</c:v>
                </c:pt>
                <c:pt idx="2">
                  <c:v>7.408</c:v>
                </c:pt>
                <c:pt idx="3">
                  <c:v>151.924</c:v>
                </c:pt>
                <c:pt idx="4">
                  <c:v>48.699</c:v>
                </c:pt>
                <c:pt idx="5">
                  <c:v>149.312</c:v>
                </c:pt>
                <c:pt idx="6">
                  <c:v>9.199</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83180.396155032271</c:v>
                </c:pt>
                <c:pt idx="1">
                  <c:v>185402.4428501619</c:v>
                </c:pt>
                <c:pt idx="2">
                  <c:v>7408.4888479262117</c:v>
                </c:pt>
                <c:pt idx="3">
                  <c:v>151924.22756036842</c:v>
                </c:pt>
                <c:pt idx="4">
                  <c:v>48699.160742317428</c:v>
                </c:pt>
                <c:pt idx="5">
                  <c:v>149312.12226576798</c:v>
                </c:pt>
                <c:pt idx="6">
                  <c:v>9198.7460788062872</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da-DK"/>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1049293.4516277818</c:v>
                </c:pt>
                <c:pt idx="1">
                  <c:v>635125.58450038044</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314788.03548833454</c:v>
                </c:pt>
                <c:pt idx="1">
                  <c:v>314788.03548833454</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'Grafer-energi'!$C$866:$L$866</c:f>
              <c:numCache>
                <c:formatCode>#,##0</c:formatCode>
                <c:ptCount val="10"/>
                <c:pt idx="0">
                  <c:v>160.07237699999999</c:v>
                </c:pt>
                <c:pt idx="2">
                  <c:v>53.593780665885596</c:v>
                </c:pt>
                <c:pt idx="3">
                  <c:v>53.351249999999993</c:v>
                </c:pt>
                <c:pt idx="4">
                  <c:v>41.024910000000006</c:v>
                </c:pt>
                <c:pt idx="5">
                  <c:v>39.659070000000007</c:v>
                </c:pt>
                <c:pt idx="6">
                  <c:v>32.523236366341173</c:v>
                </c:pt>
                <c:pt idx="7">
                  <c:v>23.827111097286142</c:v>
                </c:pt>
                <c:pt idx="8">
                  <c:v>23.329225925970388</c:v>
                </c:pt>
                <c:pt idx="9">
                  <c:v>10.348065</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'Grafer-energi'!$C$867:$L$867</c:f>
              <c:numCache>
                <c:formatCode>#,##0</c:formatCode>
                <c:ptCount val="10"/>
                <c:pt idx="0">
                  <c:v>38.458482199999999</c:v>
                </c:pt>
                <c:pt idx="2">
                  <c:v>40.496790000000004</c:v>
                </c:pt>
                <c:pt idx="3">
                  <c:v>18.068023999999998</c:v>
                </c:pt>
                <c:pt idx="4">
                  <c:v>24.343359000000003</c:v>
                </c:pt>
                <c:pt idx="5">
                  <c:v>14.736032999999999</c:v>
                </c:pt>
                <c:pt idx="6">
                  <c:v>8.5229659213889288</c:v>
                </c:pt>
                <c:pt idx="7">
                  <c:v>8.245915521214549</c:v>
                </c:pt>
                <c:pt idx="8">
                  <c:v>8.8139320868568092</c:v>
                </c:pt>
                <c:pt idx="9">
                  <c:v>1.482E-3</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'Grafer-energi'!$C$868:$L$868</c:f>
              <c:numCache>
                <c:formatCode>#,##0</c:formatCode>
                <c:ptCount val="10"/>
                <c:pt idx="0">
                  <c:v>69.785547300000005</c:v>
                </c:pt>
                <c:pt idx="2">
                  <c:v>46.9747509650024</c:v>
                </c:pt>
                <c:pt idx="3">
                  <c:v>54.888142000000002</c:v>
                </c:pt>
                <c:pt idx="4">
                  <c:v>56.278377000000006</c:v>
                </c:pt>
                <c:pt idx="5">
                  <c:v>45.861254000000002</c:v>
                </c:pt>
                <c:pt idx="6">
                  <c:v>42.209780678986888</c:v>
                </c:pt>
                <c:pt idx="7">
                  <c:v>33.843123616388795</c:v>
                </c:pt>
                <c:pt idx="8">
                  <c:v>32.670737615778911</c:v>
                </c:pt>
                <c:pt idx="9">
                  <c:v>2.3792032999999995</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'Grafer-energi'!$C$869:$L$869</c:f>
              <c:numCache>
                <c:formatCode>#,##0</c:formatCode>
                <c:ptCount val="10"/>
                <c:pt idx="0">
                  <c:v>133.14184650488849</c:v>
                </c:pt>
                <c:pt idx="2">
                  <c:v>189.50758709110337</c:v>
                </c:pt>
                <c:pt idx="3">
                  <c:v>183.01170790891817</c:v>
                </c:pt>
                <c:pt idx="4">
                  <c:v>182.84693588134181</c:v>
                </c:pt>
                <c:pt idx="5">
                  <c:v>161.08282976265309</c:v>
                </c:pt>
                <c:pt idx="6">
                  <c:v>158.28381671718046</c:v>
                </c:pt>
                <c:pt idx="7">
                  <c:v>159.01273527956889</c:v>
                </c:pt>
                <c:pt idx="8">
                  <c:v>152.191555067119</c:v>
                </c:pt>
                <c:pt idx="9">
                  <c:v>117.42669674313778</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'Grafer-energi'!$C$870:$L$870</c:f>
              <c:numCache>
                <c:formatCode>#,##0</c:formatCode>
                <c:ptCount val="10"/>
                <c:pt idx="0">
                  <c:v>0</c:v>
                </c:pt>
                <c:pt idx="2">
                  <c:v>0</c:v>
                </c:pt>
                <c:pt idx="3">
                  <c:v>0</c:v>
                </c:pt>
                <c:pt idx="4">
                  <c:v>0</c:v>
                </c:pt>
                <c:pt idx="5">
                  <c:v>0</c:v>
                </c:pt>
                <c:pt idx="6">
                  <c:v>0</c:v>
                </c:pt>
                <c:pt idx="7">
                  <c:v>0</c:v>
                </c:pt>
                <c:pt idx="8">
                  <c:v>0</c:v>
                </c:pt>
                <c:pt idx="9">
                  <c:v>-10.369319082106047</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'Grafer-energi'!$C$871:$L$871</c:f>
              <c:numCache>
                <c:formatCode>#,##0</c:formatCode>
                <c:ptCount val="10"/>
                <c:pt idx="0">
                  <c:v>168.72266314296658</c:v>
                </c:pt>
                <c:pt idx="2">
                  <c:v>7.8176747279763186</c:v>
                </c:pt>
                <c:pt idx="3">
                  <c:v>91.338846779918754</c:v>
                </c:pt>
                <c:pt idx="4">
                  <c:v>49.240353014827917</c:v>
                </c:pt>
                <c:pt idx="5">
                  <c:v>24.193538388773263</c:v>
                </c:pt>
                <c:pt idx="6">
                  <c:v>-32.884766621295149</c:v>
                </c:pt>
                <c:pt idx="7">
                  <c:v>-20.949253687868911</c:v>
                </c:pt>
                <c:pt idx="8">
                  <c:v>-16.382062393039238</c:v>
                </c:pt>
                <c:pt idx="9">
                  <c:v>-1.8042995758085667</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121011.45212921014</c:v>
                </c:pt>
                <c:pt idx="1">
                  <c:v>189628.16069912384</c:v>
                </c:pt>
                <c:pt idx="2">
                  <c:v>8104.8169920675109</c:v>
                </c:pt>
                <c:pt idx="3">
                  <c:v>130526.74380488847</c:v>
                </c:pt>
                <c:pt idx="4">
                  <c:v>439654.17234296654</c:v>
                </c:pt>
                <c:pt idx="5">
                  <c:v>146189.56859972127</c:v>
                </c:pt>
                <c:pt idx="6">
                  <c:v>14178.537059804121</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83180.396155032271</c:v>
                </c:pt>
                <c:pt idx="1">
                  <c:v>185402.4428501619</c:v>
                </c:pt>
                <c:pt idx="2">
                  <c:v>7408.4888479262117</c:v>
                </c:pt>
                <c:pt idx="3">
                  <c:v>151924.22756036842</c:v>
                </c:pt>
                <c:pt idx="4">
                  <c:v>48699.160742317428</c:v>
                </c:pt>
                <c:pt idx="5">
                  <c:v>149312.12226576798</c:v>
                </c:pt>
                <c:pt idx="6">
                  <c:v>9198.7460788062872</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8848.49</c:v>
                </c:pt>
                <c:pt idx="1">
                  <c:v>149.26999999999998</c:v>
                </c:pt>
                <c:pt idx="2">
                  <c:v>1902.6799999999998</c:v>
                </c:pt>
                <c:pt idx="3">
                  <c:v>2331.62</c:v>
                </c:pt>
                <c:pt idx="4">
                  <c:v>10208.029999999999</c:v>
                </c:pt>
                <c:pt idx="5">
                  <c:v>1722.72</c:v>
                </c:pt>
                <c:pt idx="6">
                  <c:v>77.97</c:v>
                </c:pt>
                <c:pt idx="7">
                  <c:v>12.97</c:v>
                </c:pt>
                <c:pt idx="8">
                  <c:v>586.62</c:v>
                </c:pt>
                <c:pt idx="9">
                  <c:v>0.9</c:v>
                </c:pt>
                <c:pt idx="10">
                  <c:v>588.1099999999999</c:v>
                </c:pt>
                <c:pt idx="11">
                  <c:v>108.67</c:v>
                </c:pt>
                <c:pt idx="12">
                  <c:v>4233.62</c:v>
                </c:pt>
                <c:pt idx="13">
                  <c:v>6248.89</c:v>
                </c:pt>
                <c:pt idx="14">
                  <c:v>3553.61</c:v>
                </c:pt>
                <c:pt idx="15">
                  <c:v>3176.6200000000003</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6248.89</c:v>
                </c:pt>
                <c:pt idx="1">
                  <c:v>3553.61</c:v>
                </c:pt>
                <c:pt idx="2">
                  <c:v>33948.290000000008</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47.611471269732533</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3525.0703255365106</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4501.5835357632368</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964.65335386871925</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159.82739236808726</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105230.22826926709</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25430.302978473544</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57499.317480407582</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994.77170692683751</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1590.0223409282075</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33.242520058048683</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15.851688976028836</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123.51762109717258</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10041.620786314352</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14569.773428571429</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2079.4695428571426</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18.043048571428574</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17387.678031428575</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24813.888691428572</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2906.2318241705912</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3551.2587628571428</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7912.7946385714285</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3987.7038634953783</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23.157004765770438</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47.715617714732225</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da-DK"/>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105230.22826926709</c:v>
                </c:pt>
                <c:pt idx="1">
                  <c:v>80172.214580894812</c:v>
                </c:pt>
                <c:pt idx="2">
                  <c:v>14569.773428571429</c:v>
                </c:pt>
                <c:pt idx="3">
                  <c:v>3551.2587628571428</c:v>
                </c:pt>
                <c:pt idx="4">
                  <c:v>7912.7946385714285</c:v>
                </c:pt>
                <c:pt idx="5">
                  <c:v>18.043048571428574</c:v>
                </c:pt>
                <c:pt idx="6">
                  <c:v>10041.620786314352</c:v>
                </c:pt>
                <c:pt idx="7">
                  <c:v>17387.678031428575</c:v>
                </c:pt>
                <c:pt idx="8">
                  <c:v>24813.888691428572</c:v>
                </c:pt>
                <c:pt idx="9">
                  <c:v>2906.2318241705912</c:v>
                </c:pt>
                <c:pt idx="10">
                  <c:v>4058.576485975881</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da-DK"/>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4975.9425000000001</c:v>
                </c:pt>
                <c:pt idx="1">
                  <c:v>50750.63</c:v>
                </c:pt>
                <c:pt idx="2">
                  <c:v>2765.0650000000001</c:v>
                </c:pt>
                <c:pt idx="3">
                  <c:v>1177.9524999999999</c:v>
                </c:pt>
                <c:pt idx="4">
                  <c:v>1059.1975000000002</c:v>
                </c:pt>
                <c:pt idx="5">
                  <c:v>7587.2524999999996</c:v>
                </c:pt>
                <c:pt idx="6">
                  <c:v>66.125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1283.6640562588968</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9.4505939099365062</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0.95621523540672904</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1270.2266558406068</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4661.1508495930511</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183.04047708831271</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'Grafer-energi'!$C$592:$L$592</c:f>
              <c:numCache>
                <c:formatCode>#,##0</c:formatCode>
                <c:ptCount val="10"/>
                <c:pt idx="0">
                  <c:v>744.64207401748854</c:v>
                </c:pt>
                <c:pt idx="2">
                  <c:v>696.25902892366764</c:v>
                </c:pt>
                <c:pt idx="3">
                  <c:v>637.59231941898565</c:v>
                </c:pt>
                <c:pt idx="4">
                  <c:v>581.20724404019495</c:v>
                </c:pt>
                <c:pt idx="5">
                  <c:v>506.78709133730558</c:v>
                </c:pt>
                <c:pt idx="6">
                  <c:v>503.3911714702316</c:v>
                </c:pt>
                <c:pt idx="7">
                  <c:v>487.26535240193186</c:v>
                </c:pt>
                <c:pt idx="8">
                  <c:v>459.4991429593066</c:v>
                </c:pt>
                <c:pt idx="9">
                  <c:v>418.73208158368521</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'Grafer-energi'!$C$593:$L$593</c:f>
              <c:numCache>
                <c:formatCode>#,##0</c:formatCode>
                <c:ptCount val="10"/>
                <c:pt idx="0">
                  <c:v>185.03025259603803</c:v>
                </c:pt>
                <c:pt idx="2">
                  <c:v>547.37333134626545</c:v>
                </c:pt>
                <c:pt idx="3">
                  <c:v>617.26409524201904</c:v>
                </c:pt>
                <c:pt idx="4">
                  <c:v>646.6081321958286</c:v>
                </c:pt>
                <c:pt idx="5">
                  <c:v>671.6899333169132</c:v>
                </c:pt>
                <c:pt idx="6">
                  <c:v>633.86468617143782</c:v>
                </c:pt>
                <c:pt idx="7">
                  <c:v>643.30544695650769</c:v>
                </c:pt>
                <c:pt idx="8">
                  <c:v>590.2262988606044</c:v>
                </c:pt>
                <c:pt idx="9">
                  <c:v>495.08782846200626</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'Grafer-energi'!$C$594:$L$594</c:f>
              <c:numCache>
                <c:formatCode>#,##0</c:formatCode>
                <c:ptCount val="10"/>
                <c:pt idx="0">
                  <c:v>0</c:v>
                </c:pt>
                <c:pt idx="2">
                  <c:v>0</c:v>
                </c:pt>
                <c:pt idx="3">
                  <c:v>0</c:v>
                </c:pt>
                <c:pt idx="4">
                  <c:v>6.5900538142156066E-3</c:v>
                </c:pt>
                <c:pt idx="5">
                  <c:v>4.335030838357655E-2</c:v>
                </c:pt>
                <c:pt idx="6">
                  <c:v>0.3401450546907428</c:v>
                </c:pt>
                <c:pt idx="7">
                  <c:v>0.38653401349670941</c:v>
                </c:pt>
                <c:pt idx="8">
                  <c:v>1.2027624187137023</c:v>
                </c:pt>
                <c:pt idx="9">
                  <c:v>6.1221440672948289</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'Grafer-energi'!$C$595:$L$595</c:f>
              <c:numCache>
                <c:formatCode>#,##0</c:formatCode>
                <c:ptCount val="10"/>
                <c:pt idx="0">
                  <c:v>30.009062587984339</c:v>
                </c:pt>
                <c:pt idx="2">
                  <c:v>20.690922830784736</c:v>
                </c:pt>
                <c:pt idx="3">
                  <c:v>17.080808576979589</c:v>
                </c:pt>
                <c:pt idx="4">
                  <c:v>51.179354227724183</c:v>
                </c:pt>
                <c:pt idx="5">
                  <c:v>60.117245023653417</c:v>
                </c:pt>
                <c:pt idx="6">
                  <c:v>56.90054010272766</c:v>
                </c:pt>
                <c:pt idx="7">
                  <c:v>57.705118184946159</c:v>
                </c:pt>
                <c:pt idx="8">
                  <c:v>65.876565876352842</c:v>
                </c:pt>
                <c:pt idx="9">
                  <c:v>38.692776018821469</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'Grafer-energi'!$C$597:$L$597</c:f>
              <c:numCache>
                <c:formatCode>#,##0</c:formatCode>
                <c:ptCount val="10"/>
                <c:pt idx="0">
                  <c:v>269.55201277295214</c:v>
                </c:pt>
                <c:pt idx="2">
                  <c:v>638.41287508576045</c:v>
                </c:pt>
                <c:pt idx="3">
                  <c:v>545.00786164858721</c:v>
                </c:pt>
                <c:pt idx="4">
                  <c:v>595.20769125269578</c:v>
                </c:pt>
                <c:pt idx="5">
                  <c:v>400.13842807915324</c:v>
                </c:pt>
                <c:pt idx="6">
                  <c:v>415.02419117813088</c:v>
                </c:pt>
                <c:pt idx="7">
                  <c:v>416.26753869371174</c:v>
                </c:pt>
                <c:pt idx="8">
                  <c:v>380.38546511107154</c:v>
                </c:pt>
                <c:pt idx="9">
                  <c:v>339.65114169157317</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'Grafer-energi'!$C$599:$L$599</c:f>
              <c:numCache>
                <c:formatCode>#,##0</c:formatCode>
                <c:ptCount val="10"/>
                <c:pt idx="0">
                  <c:v>218.42</c:v>
                </c:pt>
                <c:pt idx="2">
                  <c:v>232.29935801127732</c:v>
                </c:pt>
                <c:pt idx="3">
                  <c:v>271.27914665963829</c:v>
                </c:pt>
                <c:pt idx="4">
                  <c:v>263.011904755675</c:v>
                </c:pt>
                <c:pt idx="5">
                  <c:v>251.2666407974576</c:v>
                </c:pt>
                <c:pt idx="6">
                  <c:v>244.07912884449448</c:v>
                </c:pt>
                <c:pt idx="7">
                  <c:v>223.15171813934998</c:v>
                </c:pt>
                <c:pt idx="8">
                  <c:v>224.93560041197676</c:v>
                </c:pt>
                <c:pt idx="9">
                  <c:v>205.84</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'Grafer-energi'!$C$600:$L$600</c:f>
              <c:numCache>
                <c:formatCode>#,##0</c:formatCode>
                <c:ptCount val="10"/>
                <c:pt idx="0">
                  <c:v>37.270000000000003</c:v>
                </c:pt>
                <c:pt idx="2">
                  <c:v>27.3</c:v>
                </c:pt>
                <c:pt idx="3">
                  <c:v>27.3</c:v>
                </c:pt>
                <c:pt idx="4">
                  <c:v>29.1</c:v>
                </c:pt>
                <c:pt idx="5">
                  <c:v>28.3</c:v>
                </c:pt>
                <c:pt idx="6">
                  <c:v>27.7</c:v>
                </c:pt>
                <c:pt idx="7">
                  <c:v>26.69</c:v>
                </c:pt>
                <c:pt idx="8">
                  <c:v>24.4</c:v>
                </c:pt>
                <c:pt idx="9">
                  <c:v>20.9</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'Grafer-energi'!$C$601:$L$601</c:f>
              <c:numCache>
                <c:formatCode>#,##0</c:formatCode>
                <c:ptCount val="10"/>
                <c:pt idx="0">
                  <c:v>269.38</c:v>
                </c:pt>
                <c:pt idx="2">
                  <c:v>361.4</c:v>
                </c:pt>
                <c:pt idx="3">
                  <c:v>310</c:v>
                </c:pt>
                <c:pt idx="4">
                  <c:v>330.1</c:v>
                </c:pt>
                <c:pt idx="5">
                  <c:v>315.3</c:v>
                </c:pt>
                <c:pt idx="6">
                  <c:v>321.2</c:v>
                </c:pt>
                <c:pt idx="7">
                  <c:v>353</c:v>
                </c:pt>
                <c:pt idx="8">
                  <c:v>360.9</c:v>
                </c:pt>
                <c:pt idx="9">
                  <c:v>127.38</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'Grafer-energi'!$C$602:$L$602</c:f>
              <c:numCache>
                <c:formatCode>#,##0</c:formatCode>
                <c:ptCount val="10"/>
                <c:pt idx="0">
                  <c:v>58.95</c:v>
                </c:pt>
                <c:pt idx="2">
                  <c:v>55.7</c:v>
                </c:pt>
                <c:pt idx="3">
                  <c:v>66.2</c:v>
                </c:pt>
                <c:pt idx="4">
                  <c:v>55.3</c:v>
                </c:pt>
                <c:pt idx="5">
                  <c:v>53.1</c:v>
                </c:pt>
                <c:pt idx="6">
                  <c:v>46.5</c:v>
                </c:pt>
                <c:pt idx="7">
                  <c:v>50.3</c:v>
                </c:pt>
                <c:pt idx="8">
                  <c:v>51.5</c:v>
                </c:pt>
                <c:pt idx="9">
                  <c:v>38.68</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'Grafer-energi'!$C$61:$L$61</c:f>
              <c:numCache>
                <c:formatCode>_(* #,##0.0_);_(* \(#,##0.0\);_(* "-"??_);_(@_)</c:formatCode>
                <c:ptCount val="10"/>
                <c:pt idx="0">
                  <c:v>11.26023768381979</c:v>
                </c:pt>
                <c:pt idx="2">
                  <c:v>32.319807285964622</c:v>
                </c:pt>
                <c:pt idx="3">
                  <c:v>36.80657442101154</c:v>
                </c:pt>
                <c:pt idx="4">
                  <c:v>37.856227317972923</c:v>
                </c:pt>
                <c:pt idx="5">
                  <c:v>44.438970793623284</c:v>
                </c:pt>
                <c:pt idx="6">
                  <c:v>50.152370079987485</c:v>
                </c:pt>
                <c:pt idx="7">
                  <c:v>50.871506415562585</c:v>
                </c:pt>
                <c:pt idx="8">
                  <c:v>50.983162619591091</c:v>
                </c:pt>
                <c:pt idx="9">
                  <c:v>73.461147002603568</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3640"/>
        <c:crosses val="autoZero"/>
        <c:auto val="1"/>
        <c:lblAlgn val="ctr"/>
        <c:lblOffset val="100"/>
        <c:noMultiLvlLbl val="0"/>
      </c:catAx>
      <c:valAx>
        <c:axId val="687053640"/>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260.10753999999997</c:v>
                </c:pt>
                <c:pt idx="1">
                  <c:v>0</c:v>
                </c:pt>
                <c:pt idx="2">
                  <c:v>0</c:v>
                </c:pt>
                <c:pt idx="3">
                  <c:v>0</c:v>
                </c:pt>
                <c:pt idx="4">
                  <c:v>0</c:v>
                </c:pt>
                <c:pt idx="5">
                  <c:v>800.53812000000005</c:v>
                </c:pt>
                <c:pt idx="6">
                  <c:v>0</c:v>
                </c:pt>
                <c:pt idx="7">
                  <c:v>0</c:v>
                </c:pt>
                <c:pt idx="8">
                  <c:v>1.5800400000000001</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0.36899999999999999</c:v>
                </c:pt>
                <c:pt idx="8">
                  <c:v>0.67799999999999994</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111.72000000000001</c:v>
                </c:pt>
                <c:pt idx="5">
                  <c:v>12.140999999999998</c:v>
                </c:pt>
                <c:pt idx="7">
                  <c:v>75.131600000000006</c:v>
                </c:pt>
                <c:pt idx="8">
                  <c:v>248.01718705958257</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75.378104296201684</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24.244874637491616</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0</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579.60450000000003</c:v>
                </c:pt>
                <c:pt idx="5">
                  <c:v>12.195</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33.700000000000003</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414.143772328176</c:v>
                </c:pt>
                <c:pt idx="1">
                  <c:v>62.536347747552</c:v>
                </c:pt>
                <c:pt idx="2">
                  <c:v>84.232631659967993</c:v>
                </c:pt>
                <c:pt idx="3">
                  <c:v>44.668819819680003</c:v>
                </c:pt>
                <c:pt idx="4">
                  <c:v>0</c:v>
                </c:pt>
                <c:pt idx="5">
                  <c:v>22.972535907264003</c:v>
                </c:pt>
                <c:pt idx="6">
                  <c:v>9.5718899613600001</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22.439999999999998</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340.85999999999996</c:v>
                </c:pt>
                <c:pt idx="1">
                  <c:v>91.68</c:v>
                </c:pt>
                <c:pt idx="2">
                  <c:v>55.93</c:v>
                </c:pt>
                <c:pt idx="3">
                  <c:v>87.49</c:v>
                </c:pt>
                <c:pt idx="4">
                  <c:v>5.78</c:v>
                </c:pt>
                <c:pt idx="5">
                  <c:v>196.66</c:v>
                </c:pt>
                <c:pt idx="6">
                  <c:v>5.89</c:v>
                </c:pt>
                <c:pt idx="7">
                  <c:v>123.55</c:v>
                </c:pt>
                <c:pt idx="8">
                  <c:v>0.73</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17.149049999999999</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('Grafer-energi'!$C$101,'Grafer-energi'!$L$101)</c:f>
              <c:numCache>
                <c:formatCode>General</c:formatCode>
                <c:ptCount val="2"/>
                <c:pt idx="0">
                  <c:v>1990</c:v>
                </c:pt>
                <c:pt idx="1">
                  <c:v>2020</c:v>
                </c:pt>
              </c:numCache>
            </c:numRef>
          </c:cat>
          <c:val>
            <c:numRef>
              <c:f>('Grafer-energi'!$C$118,'Grafer-energi'!$L$118)</c:f>
              <c:numCache>
                <c:formatCode>#,##0</c:formatCode>
                <c:ptCount val="2"/>
                <c:pt idx="0">
                  <c:v>6225.0521546760019</c:v>
                </c:pt>
                <c:pt idx="1">
                  <c:v>1571.9561746410382</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('Grafer-energi'!$C$101,'Grafer-energi'!$L$101)</c:f>
              <c:numCache>
                <c:formatCode>General</c:formatCode>
                <c:ptCount val="2"/>
                <c:pt idx="0">
                  <c:v>1990</c:v>
                </c:pt>
                <c:pt idx="1">
                  <c:v>2020</c:v>
                </c:pt>
              </c:numCache>
            </c:numRef>
          </c:cat>
          <c:val>
            <c:numRef>
              <c:f>('Grafer-energi'!$C$119,'Grafer-energi'!$L$119)</c:f>
              <c:numCache>
                <c:formatCode>#,##0</c:formatCode>
                <c:ptCount val="2"/>
                <c:pt idx="0">
                  <c:v>807.00999999999988</c:v>
                </c:pt>
                <c:pt idx="1">
                  <c:v>4519.9922063502854</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hyperlink" Target="#'Grafer-energi'!B1213"/><Relationship Id="rId39" Type="http://schemas.openxmlformats.org/officeDocument/2006/relationships/hyperlink" Target="#'Grafer-energi'!B88"/><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4.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61" Type="http://schemas.openxmlformats.org/officeDocument/2006/relationships/hyperlink" Target="#'Grafer-energi'!B762"/><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3" Type="http://schemas.openxmlformats.org/officeDocument/2006/relationships/chart" Target="../charts/chart36.xml"/><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 Type="http://schemas.openxmlformats.org/officeDocument/2006/relationships/chart" Target="../charts/chart35.xml"/><Relationship Id="rId16" Type="http://schemas.openxmlformats.org/officeDocument/2006/relationships/chart" Target="../charts/chart49.xml"/><Relationship Id="rId20" Type="http://schemas.openxmlformats.org/officeDocument/2006/relationships/chart" Target="../charts/chart53.xml"/><Relationship Id="rId29" Type="http://schemas.openxmlformats.org/officeDocument/2006/relationships/hyperlink" Target="#'Grafer-klima'!E125"/><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489857</xdr:colOff>
      <xdr:row>87</xdr:row>
      <xdr:rowOff>0</xdr:rowOff>
    </xdr:from>
    <xdr:to>
      <xdr:col>33</xdr:col>
      <xdr:colOff>99332</xdr:colOff>
      <xdr:row>87</xdr:row>
      <xdr:rowOff>745672</xdr:rowOff>
    </xdr:to>
    <xdr:grpSp>
      <xdr:nvGrpSpPr>
        <xdr:cNvPr id="6" name="Gruppe 3">
          <a:extLst>
            <a:ext uri="{FF2B5EF4-FFF2-40B4-BE49-F238E27FC236}">
              <a16:creationId xmlns:a16="http://schemas.microsoft.com/office/drawing/2014/main" id="{56CB2B47-F344-4E51-B33C-B908B7147F55}"/>
            </a:ext>
          </a:extLst>
        </xdr:cNvPr>
        <xdr:cNvGrpSpPr>
          <a:grpSpLocks/>
        </xdr:cNvGrpSpPr>
      </xdr:nvGrpSpPr>
      <xdr:grpSpPr bwMode="auto">
        <a:xfrm>
          <a:off x="12872357"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97138F2-B44C-441C-93CA-6D3697702C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85E493E-5649-412B-BA07-FB4E6C22D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10" name="Billede 9">
          <a:extLst>
            <a:ext uri="{FF2B5EF4-FFF2-40B4-BE49-F238E27FC236}">
              <a16:creationId xmlns:a16="http://schemas.microsoft.com/office/drawing/2014/main" id="{C95710E9-C739-4CF9-B283-779F652A5C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9" name="Gruppe 3">
          <a:extLst>
            <a:ext uri="{FF2B5EF4-FFF2-40B4-BE49-F238E27FC236}">
              <a16:creationId xmlns:a16="http://schemas.microsoft.com/office/drawing/2014/main" id="{849C097E-92A0-4564-B9B1-0369F943E2A9}"/>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37989299-09B0-4359-8420-229D1B905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2ADBE512-E7C4-4D4D-B4F0-046A44B25D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FD4EEF2F-9CD5-4584-891D-46F385EA28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3058855" y="18411265"/>
          <a:ext cx="5399555"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3110882" y="18411265"/>
          <a:ext cx="5401956"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841375</xdr:colOff>
      <xdr:row>41</xdr:row>
      <xdr:rowOff>104126</xdr:rowOff>
    </xdr:from>
    <xdr:to>
      <xdr:col>8</xdr:col>
      <xdr:colOff>1511011</xdr:colOff>
      <xdr:row>44</xdr:row>
      <xdr:rowOff>164098</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05346" y="8923155"/>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2967607" y="18546536"/>
          <a:ext cx="5411561"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3072464" y="18556941"/>
          <a:ext cx="5772711"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3110883" y="18556941"/>
          <a:ext cx="5775112"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3124485" y="18556941"/>
          <a:ext cx="5775112"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3058856" y="18556941"/>
          <a:ext cx="5772711"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lanenergi.sharepoint.com/Projekter/20-000/20-062%20Region%20Midtjylland%20-%20Drivhusgasregnskab%20Region%20Midt/2%20Bilag%20slutrapport/Samlet%20regnskaber%20rev/Skive%20Kommune%20-%20Samlet%20regnskab%202018_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rehold,2018"/>
      <sheetName val="Planteavl,2018"/>
      <sheetName val="Arealanvendelse, 2018"/>
      <sheetName val="Industrielle processer 2018"/>
      <sheetName val="Affald og spildevand, 2018"/>
      <sheetName val="Energiregnskab, 2018"/>
      <sheetName val="Energiregnskab, 1990"/>
      <sheetName val="Grafer"/>
    </sheetNames>
    <sheetDataSet>
      <sheetData sheetId="0">
        <row r="4">
          <cell r="V4" t="str">
            <v>Skive Kommune</v>
          </cell>
        </row>
      </sheetData>
      <sheetData sheetId="1">
        <row r="4">
          <cell r="Z4" t="str">
            <v xml:space="preserve">Skive kommune </v>
          </cell>
        </row>
      </sheetData>
      <sheetData sheetId="2">
        <row r="4">
          <cell r="J4" t="str">
            <v>Skive Kommune</v>
          </cell>
        </row>
      </sheetData>
      <sheetData sheetId="3">
        <row r="5">
          <cell r="I5" t="str">
            <v>Skive kommune</v>
          </cell>
        </row>
      </sheetData>
      <sheetData sheetId="4">
        <row r="5">
          <cell r="G5" t="str">
            <v>Skive Kommune</v>
          </cell>
        </row>
      </sheetData>
      <sheetData sheetId="5"/>
      <sheetData sheetId="6"/>
      <sheetData sheetId="7">
        <row r="5">
          <cell r="F5">
            <v>683.4</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20DEB1B2-CD3C-421C-886A-ADBA86E67440}">
    <text>MEI (2018-klimadata &amp; 2020-energidata)</text>
  </threadedComment>
  <threadedComment ref="I30" dT="2019-11-25T07:35:39.87" personId="{00000000-0000-0000-0000-000000000000}" id="{83D413C2-440F-4817-807B-04028D361547}">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
    <tabColor rgb="FFFFC000"/>
    <pageSetUpPr fitToPage="1"/>
  </sheetPr>
  <dimension ref="A1:AY1601"/>
  <sheetViews>
    <sheetView showGridLines="0" topLeftCell="A10" zoomScale="70" zoomScaleNormal="70" workbookViewId="0">
      <selection activeCell="A2" sqref="A2"/>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5"/>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2007</v>
      </c>
      <c r="F60" s="69">
        <v>2009</v>
      </c>
      <c r="G60" s="69">
        <v>2011</v>
      </c>
      <c r="H60" s="69">
        <v>2013</v>
      </c>
      <c r="I60" s="69">
        <v>2015</v>
      </c>
      <c r="J60" s="69">
        <v>2017</v>
      </c>
      <c r="K60" s="69">
        <v>2018</v>
      </c>
      <c r="L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f>'E1990'!$AC$83</f>
        <v>11.26023768381979</v>
      </c>
      <c r="D61" s="72"/>
      <c r="E61" s="72">
        <f>'E2007'!$AC$83</f>
        <v>32.319807285964622</v>
      </c>
      <c r="F61" s="72">
        <f>'E2009'!$AC$83</f>
        <v>36.80657442101154</v>
      </c>
      <c r="G61" s="72">
        <f>'E2011'!$AC$83</f>
        <v>37.856227317972923</v>
      </c>
      <c r="H61" s="72">
        <f>'E2013'!$AC$83</f>
        <v>44.438970793623284</v>
      </c>
      <c r="I61" s="72">
        <f>'E2015'!$AC$83</f>
        <v>50.152370079987485</v>
      </c>
      <c r="J61" s="72">
        <f>'E2017'!$AC$83</f>
        <v>50.871506415562585</v>
      </c>
      <c r="K61" s="72">
        <f>'E2018'!$AC$83</f>
        <v>50.983162619591091</v>
      </c>
      <c r="L61" s="72">
        <f>'E2020'!$AC$83</f>
        <v>73.461147002603568</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f>'E1990'!$AC$84</f>
        <v>11.476149986293489</v>
      </c>
      <c r="D62" s="72"/>
      <c r="E62" s="72">
        <f>'E2007'!$AC$84</f>
        <v>32.907571019564855</v>
      </c>
      <c r="F62" s="72">
        <f>'E2009'!$AC$84</f>
        <v>36.936104334720852</v>
      </c>
      <c r="G62" s="72">
        <f>'E2011'!$AC$84</f>
        <v>37.390907808844645</v>
      </c>
      <c r="H62" s="72">
        <f>'E2013'!$AC$84</f>
        <v>44.438333483438036</v>
      </c>
      <c r="I62" s="72">
        <f>'E2015'!$AC$84</f>
        <v>52.454211794776576</v>
      </c>
      <c r="J62" s="72">
        <f>'E2017'!$AC$84</f>
        <v>53.129052825390254</v>
      </c>
      <c r="K62" s="72">
        <f>'E2018'!$AC$84</f>
        <v>52.680777314345661</v>
      </c>
      <c r="L62" s="72">
        <f>'E2020'!$AC$84</f>
        <v>74.421900708715469</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2007</v>
      </c>
      <c r="F101" s="69">
        <v>2009</v>
      </c>
      <c r="G101" s="69">
        <v>2011</v>
      </c>
      <c r="H101" s="69">
        <v>2013</v>
      </c>
      <c r="I101" s="69">
        <v>2015</v>
      </c>
      <c r="J101" s="69">
        <v>2017</v>
      </c>
      <c r="K101" s="69">
        <v>2018</v>
      </c>
      <c r="L101" s="69">
        <v>2020</v>
      </c>
      <c r="M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4" t="s">
        <v>81</v>
      </c>
      <c r="B102" s="78" t="s">
        <v>82</v>
      </c>
      <c r="C102" s="24">
        <f>'E1990'!$A$81*(1-'E1990'!$A$87%)</f>
        <v>708.91875270154026</v>
      </c>
      <c r="D102" s="24"/>
      <c r="E102" s="24">
        <f>'E2007'!$A$81*(1-'E2007'!$A$87%)</f>
        <v>31.427483210167235</v>
      </c>
      <c r="F102" s="24">
        <f>'E2009'!$A$81*(1-'E2009'!$A$87%)</f>
        <v>373.32545140787096</v>
      </c>
      <c r="G102" s="24">
        <f>'E2011'!$A$81*(1-'E2011'!$A$87%)</f>
        <v>198.61749028819349</v>
      </c>
      <c r="H102" s="24">
        <f>'E2013'!$A$81*(1-'E2013'!$A$87%)</f>
        <v>101.31044200298803</v>
      </c>
      <c r="I102" s="24">
        <f>'E2015'!$A$81*(1-'E2015'!$A$87%)</f>
        <v>-159.83204799871604</v>
      </c>
      <c r="J102" s="24">
        <f>'E2017'!$A$81*(1-'E2017'!$A$87%)</f>
        <v>-94.434068192701545</v>
      </c>
      <c r="K102" s="24">
        <f>'E2018'!$A$81*(1-'E2018'!$A$87%)</f>
        <v>-73.911979859023305</v>
      </c>
      <c r="L102" s="24">
        <f>'E2020'!$A$81*(1-'E2020'!$A$87%)</f>
        <v>-9.607644505442261</v>
      </c>
      <c r="M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5"/>
      <c r="B103" s="78" t="s">
        <v>83</v>
      </c>
      <c r="C103" s="24">
        <f>'E1990'!$C$81</f>
        <v>263.39999999999998</v>
      </c>
      <c r="D103" s="24"/>
      <c r="E103" s="24">
        <f>'E2007'!$C$81</f>
        <v>0</v>
      </c>
      <c r="F103" s="24">
        <f>'E2009'!$C$81</f>
        <v>0</v>
      </c>
      <c r="G103" s="24">
        <f>'E2011'!$C$81</f>
        <v>0</v>
      </c>
      <c r="H103" s="24">
        <f>'E2013'!$C$81</f>
        <v>0</v>
      </c>
      <c r="I103" s="24">
        <f>'E2015'!$C$81</f>
        <v>0</v>
      </c>
      <c r="J103" s="24">
        <f>'E2017'!$C$81</f>
        <v>0</v>
      </c>
      <c r="K103" s="24">
        <f>'E2018'!$C$81</f>
        <v>0</v>
      </c>
      <c r="L103" s="24">
        <f>'E2020'!$C$81</f>
        <v>0</v>
      </c>
      <c r="M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5"/>
      <c r="B104" s="78" t="s">
        <v>84</v>
      </c>
      <c r="C104" s="24">
        <f>'E1990'!$I$81+'E1990'!$B$81</f>
        <v>763.54</v>
      </c>
      <c r="D104" s="24"/>
      <c r="E104" s="24">
        <f>'E2007'!$I$81+'E2007'!$B$81</f>
        <v>1500.3781196</v>
      </c>
      <c r="F104" s="24">
        <f>'E2009'!$I$81+'E2009'!$B$81</f>
        <v>1278</v>
      </c>
      <c r="G104" s="24">
        <f>'E2011'!$I$81+'E2011'!$B$81</f>
        <v>1405.0000000000002</v>
      </c>
      <c r="H104" s="24">
        <f>'E2013'!$I$81+'E2013'!$B$81</f>
        <v>1195.5</v>
      </c>
      <c r="I104" s="24">
        <f>'E2015'!$I$81+'E2015'!$B$81</f>
        <v>920.89157070591182</v>
      </c>
      <c r="J104" s="24">
        <f>'E2017'!$I$81+'E2017'!$B$81</f>
        <v>947.90677119528095</v>
      </c>
      <c r="K104" s="24">
        <f>'E2018'!$I$81+'E2018'!$B$81</f>
        <v>933.58426553257311</v>
      </c>
      <c r="L104" s="24">
        <f>'E2020'!$I$81+'E2020'!$B$81</f>
        <v>-165.97727453361037</v>
      </c>
      <c r="M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5"/>
      <c r="B105" s="78" t="s">
        <v>85</v>
      </c>
      <c r="C105" s="24">
        <f>'E1990'!$D$81</f>
        <v>216.3</v>
      </c>
      <c r="D105" s="24"/>
      <c r="E105" s="24">
        <f>'E2007'!$D$81</f>
        <v>9.6999999999999993</v>
      </c>
      <c r="F105" s="24">
        <f>'E2009'!$D$81</f>
        <v>164</v>
      </c>
      <c r="G105" s="24">
        <f>'E2011'!$D$81</f>
        <v>161.10000000000002</v>
      </c>
      <c r="H105" s="24">
        <f>'E2013'!$D$81</f>
        <v>140.19999999999999</v>
      </c>
      <c r="I105" s="24">
        <f>'E2015'!$D$81</f>
        <v>135.4</v>
      </c>
      <c r="J105" s="24">
        <f>'E2017'!$D$81</f>
        <v>8.6999999999999993</v>
      </c>
      <c r="K105" s="24">
        <f>'E2018'!$D$81</f>
        <v>0</v>
      </c>
      <c r="L105" s="24">
        <f>'E2020'!$D$81</f>
        <v>3.8000000000000003</v>
      </c>
      <c r="M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5"/>
      <c r="B106" s="78" t="s">
        <v>86</v>
      </c>
      <c r="C106" s="24">
        <f>'E1990'!$E$81+'E1990'!$F$81</f>
        <v>3236.4613279569739</v>
      </c>
      <c r="D106" s="24"/>
      <c r="E106" s="24">
        <f>'E2007'!$E$81+'E2007'!$F$81</f>
        <v>2263.1764872740878</v>
      </c>
      <c r="F106" s="24">
        <f>'E2009'!$E$81+'E2009'!$F$81</f>
        <v>2091.8745115962888</v>
      </c>
      <c r="G106" s="24">
        <f>'E2011'!$E$81+'E2011'!$F$81</f>
        <v>1979.4684218579023</v>
      </c>
      <c r="H106" s="24">
        <f>'E2013'!$E$81+'E2013'!$F$81</f>
        <v>1669.3649357677969</v>
      </c>
      <c r="I106" s="24">
        <f>'E2015'!$E$81+'E2015'!$F$81</f>
        <v>1614.6116984718863</v>
      </c>
      <c r="J106" s="24">
        <f>'E2017'!$E$81+'E2017'!$F$81</f>
        <v>1486.4897988270827</v>
      </c>
      <c r="K106" s="24">
        <f>'E2018'!$E$81+'E2018'!$F$81</f>
        <v>1418.2878924182971</v>
      </c>
      <c r="L106" s="24">
        <f>'E2020'!$E$81+'E2020'!$F$81</f>
        <v>1219.8829131737664</v>
      </c>
      <c r="M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5"/>
      <c r="B107" s="78" t="s">
        <v>87</v>
      </c>
      <c r="C107" s="24">
        <f>'E1990'!$G$81</f>
        <v>267.94</v>
      </c>
      <c r="D107" s="24"/>
      <c r="E107" s="24">
        <f>'E2007'!$G$81</f>
        <v>360.5</v>
      </c>
      <c r="F107" s="24">
        <f>'E2009'!$G$81</f>
        <v>309.3</v>
      </c>
      <c r="G107" s="24">
        <f>'E2011'!$G$81</f>
        <v>329.5</v>
      </c>
      <c r="H107" s="24">
        <f>'E2013'!$G$81</f>
        <v>314.7</v>
      </c>
      <c r="I107" s="24">
        <f>'E2015'!$G$81</f>
        <v>320.8</v>
      </c>
      <c r="J107" s="24">
        <f>'E2017'!$G$81</f>
        <v>352.7</v>
      </c>
      <c r="K107" s="24">
        <f>'E2018'!$G$81</f>
        <v>360.5</v>
      </c>
      <c r="L107" s="24">
        <f>'E2020'!$G$81</f>
        <v>127.03</v>
      </c>
      <c r="M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5"/>
      <c r="B108" s="78" t="s">
        <v>88</v>
      </c>
      <c r="C108" s="24">
        <f>'E1990'!$H$81</f>
        <v>746.08207401748859</v>
      </c>
      <c r="D108" s="24"/>
      <c r="E108" s="24">
        <f>'E2007'!$H$81</f>
        <v>695.07025183689666</v>
      </c>
      <c r="F108" s="24">
        <f>'E2009'!$H$81</f>
        <v>636.37954246072877</v>
      </c>
      <c r="G108" s="24">
        <f>'E2011'!$H$81</f>
        <v>563.7898194749489</v>
      </c>
      <c r="H108" s="24">
        <f>'E2013'!$H$81</f>
        <v>491.16990441451185</v>
      </c>
      <c r="I108" s="24">
        <f>'E2015'!$H$81</f>
        <v>488.32310310605413</v>
      </c>
      <c r="J108" s="24">
        <f>'E2017'!$H$81</f>
        <v>472.58603374302106</v>
      </c>
      <c r="K108" s="24">
        <f>'E2018'!$H$81</f>
        <v>446.31362646811783</v>
      </c>
      <c r="L108" s="24">
        <f>'E2020'!$H$81</f>
        <v>396.82818050632466</v>
      </c>
      <c r="M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6"/>
      <c r="B109" s="78" t="s">
        <v>89</v>
      </c>
      <c r="C109" s="24">
        <f>'E1990'!$Z$81</f>
        <v>22.41</v>
      </c>
      <c r="D109" s="24"/>
      <c r="E109" s="24">
        <f>'E2007'!$Z$81</f>
        <v>0</v>
      </c>
      <c r="F109" s="24">
        <f>'E2009'!$Z$81</f>
        <v>0</v>
      </c>
      <c r="G109" s="24">
        <f>'E2011'!$Z$81</f>
        <v>0</v>
      </c>
      <c r="H109" s="24">
        <f>'E2013'!$Z$81</f>
        <v>0</v>
      </c>
      <c r="I109" s="24">
        <f>'E2015'!$Z$81</f>
        <v>0</v>
      </c>
      <c r="J109" s="24">
        <f>'E2017'!$Z$81</f>
        <v>0.1</v>
      </c>
      <c r="K109" s="24">
        <f>'E2018'!$Z$81</f>
        <v>0</v>
      </c>
      <c r="L109" s="24">
        <f>'E2020'!$Z$81</f>
        <v>0</v>
      </c>
      <c r="M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4" t="s">
        <v>90</v>
      </c>
      <c r="B110" s="78" t="s">
        <v>91</v>
      </c>
      <c r="C110" s="24">
        <f>'E1990'!$X$81+SUM('E1990'!$W$16:$W$25)</f>
        <v>27.39</v>
      </c>
      <c r="D110" s="24"/>
      <c r="E110" s="24">
        <f>'E2007'!$X$81+SUM('E2007'!$W$16:$W$25)</f>
        <v>0</v>
      </c>
      <c r="F110" s="24">
        <f>'E2009'!$X$81+SUM('E2009'!$W$16:$W$25)</f>
        <v>0</v>
      </c>
      <c r="G110" s="24">
        <f>'E2011'!$X$81+SUM('E2011'!$W$16:$W$25)</f>
        <v>0</v>
      </c>
      <c r="H110" s="24">
        <f>'E2013'!$X$81+SUM('E2013'!$W$16:$W$25)</f>
        <v>0</v>
      </c>
      <c r="I110" s="24">
        <f>'E2015'!$X$81+SUM('E2015'!$W$16:$W$25)</f>
        <v>0</v>
      </c>
      <c r="J110" s="24">
        <f>'E2017'!$X$81+SUM('E2017'!$W$16:$W$24)</f>
        <v>0</v>
      </c>
      <c r="K110" s="24">
        <f>'E2018'!$X$81+SUM('E2018'!$W$16:$W$24)</f>
        <v>0</v>
      </c>
      <c r="L110" s="24">
        <f>'E2020'!$X$81+SUM('E2020'!$W$13:$W$22)</f>
        <v>0</v>
      </c>
      <c r="M110" s="24">
        <f>'E2020'!$X$83</f>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5"/>
      <c r="B111" s="78" t="s">
        <v>92</v>
      </c>
      <c r="C111" s="24">
        <f>'E1990'!$S$81+'E1990'!$T$81+'E1990'!$U$81+'E1990'!$V$81</f>
        <v>686.45999999999992</v>
      </c>
      <c r="D111" s="24"/>
      <c r="E111" s="24">
        <f>'E2007'!$S$81+'E2007'!$T$81+'E2007'!$U$81+'E2007'!$V$81</f>
        <v>1629.3887770867709</v>
      </c>
      <c r="F111" s="24">
        <f>'E2009'!$S$81+'E2009'!$T$81+'E2009'!$U$81+'E2009'!$V$81</f>
        <v>2252.040177489192</v>
      </c>
      <c r="G111" s="24">
        <f>'E2011'!$S$81+'E2011'!$T$81+'E2011'!$U$81+'E2011'!$V$81</f>
        <v>2079.8560851392676</v>
      </c>
      <c r="H111" s="24">
        <f>'E2013'!$S$81+'E2013'!$T$81+'E2013'!$U$81+'E2013'!$V$81</f>
        <v>2339.9644983721741</v>
      </c>
      <c r="I111" s="24">
        <f>'E2015'!$S$81+'E2015'!$T$81+'E2015'!$U$81+'E2015'!$V$81</f>
        <v>2172.2660782618573</v>
      </c>
      <c r="J111" s="24">
        <f>'E2017'!$S$81+'E2017'!$T$81+'E2017'!$U$81+'E2017'!$V$81</f>
        <v>2032.6336293495688</v>
      </c>
      <c r="K111" s="24">
        <f>'E2018'!$S$81+'E2018'!$T$81+'E2018'!$U$81+'E2018'!$V$81</f>
        <v>1970.4564663357473</v>
      </c>
      <c r="L111" s="24">
        <f>'E2020'!$S$81+'E2020'!$T$81+'E2020'!$U$81+'E2020'!$V$81</f>
        <v>2087.226375327562</v>
      </c>
      <c r="M111" s="24">
        <f>'E2020'!$S$83+'E2020'!$T$83+'E2020'!$U$83+'E2020'!$V$83</f>
        <v>1604.88</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5"/>
      <c r="B112" s="78" t="s">
        <v>93</v>
      </c>
      <c r="C112" s="24">
        <f>'E1990'!$M$81</f>
        <v>92.06</v>
      </c>
      <c r="D112" s="24"/>
      <c r="E112" s="24">
        <f>'E2007'!$M$81</f>
        <v>707.28</v>
      </c>
      <c r="F112" s="24">
        <f>'E2009'!$M$81</f>
        <v>576.01</v>
      </c>
      <c r="G112" s="24">
        <f>'E2011'!$M$81</f>
        <v>648.98299999999995</v>
      </c>
      <c r="H112" s="24">
        <f>'E2013'!$M$81</f>
        <v>729.6</v>
      </c>
      <c r="I112" s="24">
        <f>'E2015'!$M$81</f>
        <v>1139.7</v>
      </c>
      <c r="J112" s="24">
        <f>'E2017'!$M$81</f>
        <v>1026.5999999999999</v>
      </c>
      <c r="K112" s="24">
        <f>'E2018'!$M$81</f>
        <v>957</v>
      </c>
      <c r="L112" s="24">
        <f>'E2020'!$M$81</f>
        <v>945.45</v>
      </c>
      <c r="M112" s="24">
        <f>'E2020'!$M$83</f>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5"/>
      <c r="B113" s="78" t="s">
        <v>94</v>
      </c>
      <c r="C113" s="24">
        <f>'E1990'!$R$81+'E1990'!$Y$81+SUM('E1990'!$W$30:$W$69)</f>
        <v>0</v>
      </c>
      <c r="D113" s="24"/>
      <c r="E113" s="24">
        <f>'E2007'!$R$81+'E2007'!$Y$81+SUM('E2007'!$W$30:$W$69)</f>
        <v>22.2422</v>
      </c>
      <c r="F113" s="24">
        <f>'E2009'!$R$81+'E2009'!$Y$81+SUM('E2009'!$W$30:$W$69)</f>
        <v>20.642199999999999</v>
      </c>
      <c r="G113" s="24">
        <f>'E2011'!$R$81+'E2011'!$Y$81+SUM('E2011'!$W$30:$W$69)</f>
        <v>67</v>
      </c>
      <c r="H113" s="24">
        <f>'E2013'!$R$81+'E2013'!$Y$81+SUM('E2013'!$W$30:$W$69)</f>
        <v>46.300000000000011</v>
      </c>
      <c r="I113" s="24">
        <f>'E2015'!$R$81+'E2015'!$Y$81+SUM('E2015'!$W$30:$W$69)</f>
        <v>104.0196</v>
      </c>
      <c r="J113" s="24">
        <f>'E2017'!$R$81+'E2017'!$Y$81+SUM('E2017'!$W$30:$W$69)</f>
        <v>212.25185999999999</v>
      </c>
      <c r="K113" s="24">
        <f>'E2018'!$R$81+'E2018'!$Y$81+SUM('E2018'!$W$30:$W$68)</f>
        <v>220.6567</v>
      </c>
      <c r="L113" s="24">
        <f>'E2020'!$R$81+'E2020'!$Y$81+SUM('E2020'!$W$27:$W$56)</f>
        <v>1384.9274</v>
      </c>
      <c r="M113" s="24">
        <f>'E2020'!$R$83+'E2020'!$W$83+'E2020'!$Y$83</f>
        <v>440.82</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5"/>
      <c r="B114" s="78" t="s">
        <v>95</v>
      </c>
      <c r="C114" s="24">
        <f>'E1990'!$O$81</f>
        <v>1.1000000000000001</v>
      </c>
      <c r="D114" s="24"/>
      <c r="E114" s="24">
        <f>'E2007'!$O$81</f>
        <v>5.9</v>
      </c>
      <c r="F114" s="24">
        <f>'E2009'!$O$81</f>
        <v>6.8000000000000007</v>
      </c>
      <c r="G114" s="24">
        <f>'E2011'!$O$81</f>
        <v>16.5</v>
      </c>
      <c r="H114" s="24">
        <f>'E2013'!$O$81</f>
        <v>47.9</v>
      </c>
      <c r="I114" s="24">
        <f>'E2015'!$O$81</f>
        <v>46.6</v>
      </c>
      <c r="J114" s="24">
        <f>'E2017'!$O$81</f>
        <v>49</v>
      </c>
      <c r="K114" s="24">
        <f>'E2018'!$O$81</f>
        <v>47.7</v>
      </c>
      <c r="L114" s="24">
        <f>'E2020'!$O$81</f>
        <v>101.26</v>
      </c>
      <c r="M114" s="24">
        <f>'E2020'!$O$83</f>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5"/>
      <c r="B115" s="78" t="s">
        <v>96</v>
      </c>
      <c r="C115" s="24">
        <f>'E1990'!$N$81+'E1990'!$P$81+'E1990'!$Q$81</f>
        <v>0</v>
      </c>
      <c r="D115" s="24"/>
      <c r="E115" s="24">
        <f>'E2007'!$N$81+'E2007'!$P$81+'E2007'!$Q$81</f>
        <v>0.12850370921183907</v>
      </c>
      <c r="F115" s="24">
        <f>'E2009'!$N$81+'E2009'!$P$81+'E2009'!$Q$81</f>
        <v>1.5739539993640701</v>
      </c>
      <c r="G115" s="24">
        <f>'E2011'!$N$81+'E2011'!$P$81+'E2011'!$Q$81</f>
        <v>5.6666666666666661</v>
      </c>
      <c r="H115" s="24">
        <f>'E2013'!$N$81+'E2013'!$P$81+'E2013'!$Q$81</f>
        <v>5.1666666666666661</v>
      </c>
      <c r="I115" s="24">
        <f>'E2015'!$N$81+'E2015'!$P$81+'E2015'!$Q$81</f>
        <v>7.7999999999999989</v>
      </c>
      <c r="J115" s="24">
        <f>'E2017'!$N$81+'E2017'!$P$81+'E2017'!$Q$81</f>
        <v>9.3999999999999986</v>
      </c>
      <c r="K115" s="24">
        <f>'E2018'!$N$81+'E2018'!$P$81+'E2018'!$Q$81</f>
        <v>10.199999999999999</v>
      </c>
      <c r="L115" s="24">
        <f>'E2020'!$N$81+'E2020'!$P$81+'E2020'!$Q$81</f>
        <v>14.879999999999999</v>
      </c>
      <c r="M115" s="24">
        <f>'E2020'!$N$83+'E2020'!$P$83+'E2020'!$Q$83</f>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6"/>
      <c r="B116" s="78" t="s">
        <v>97</v>
      </c>
      <c r="C116" s="24">
        <f>'E1990'!$A$81*'E1990'!$A$87%</f>
        <v>0</v>
      </c>
      <c r="D116" s="24"/>
      <c r="E116" s="24">
        <f>'E2007'!$A$81*'E2007'!$A$87%</f>
        <v>3.8842956776611191</v>
      </c>
      <c r="F116" s="24">
        <f>'E2009'!$A$81*'E2009'!$A$87%</f>
        <v>60.773910694304575</v>
      </c>
      <c r="G116" s="24">
        <f>'E2011'!$A$81*'E2011'!$A$87%</f>
        <v>81.125453779684662</v>
      </c>
      <c r="H116" s="24">
        <f>'E2013'!$A$81*'E2013'!$A$87%</f>
        <v>49.899172926844855</v>
      </c>
      <c r="I116" s="24">
        <f>'E2015'!$A$81*'E2015'!$A$87%</f>
        <v>-111.06972827029418</v>
      </c>
      <c r="J116" s="24">
        <f>'E2017'!$A$81*'E2017'!$A$87%</f>
        <v>-94.434068192701545</v>
      </c>
      <c r="K116" s="24">
        <f>'E2018'!$A$81*'E2018'!$A$87%</f>
        <v>-58.073698460661163</v>
      </c>
      <c r="L116" s="24">
        <f>'E2020'!$A$81*'E2020'!$A$87%</f>
        <v>-13.751568977276586</v>
      </c>
      <c r="M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f t="shared" ref="C117" si="0">SUM(C102:C116)</f>
        <v>7032.062154676003</v>
      </c>
      <c r="D117" s="81"/>
      <c r="E117" s="81">
        <f t="shared" ref="E117" si="1">SUM(E102:E116)</f>
        <v>7229.0761183947952</v>
      </c>
      <c r="F117" s="81">
        <f>SUM(F102:F116)</f>
        <v>7770.7197476477504</v>
      </c>
      <c r="G117" s="81">
        <f>SUM(G102:G116)</f>
        <v>7536.606937206665</v>
      </c>
      <c r="H117" s="81">
        <f t="shared" ref="H117" si="2">SUM(H102:H116)</f>
        <v>7131.0756201509821</v>
      </c>
      <c r="I117" s="81">
        <f>SUM(I102:I116)</f>
        <v>6679.5102742766994</v>
      </c>
      <c r="J117" s="81">
        <f>SUM(J102:J116)</f>
        <v>6409.4999567295499</v>
      </c>
      <c r="K117" s="81">
        <f t="shared" ref="K117" si="3">SUM(K102:K116)</f>
        <v>6232.7132724350504</v>
      </c>
      <c r="L117" s="81">
        <f t="shared" ref="L117" si="4">SUM(L102:L116)</f>
        <v>6091.9483809913236</v>
      </c>
      <c r="M117" s="81">
        <f>SUM(M102:M116)</f>
        <v>2045.7</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f t="shared" ref="C118" si="5">SUM(C102:C109)</f>
        <v>6225.0521546760019</v>
      </c>
      <c r="D118" s="27"/>
      <c r="E118" s="27">
        <f t="shared" ref="E118" si="6">SUM(E102:E109)</f>
        <v>4860.252341921152</v>
      </c>
      <c r="F118" s="27">
        <f>SUM(F102:F109)</f>
        <v>4852.879505464889</v>
      </c>
      <c r="G118" s="27">
        <f>SUM(G102:G109)</f>
        <v>4637.4757316210453</v>
      </c>
      <c r="H118" s="27">
        <f t="shared" ref="H118" si="7">SUM(H102:H109)</f>
        <v>3912.2452821852967</v>
      </c>
      <c r="I118" s="27">
        <f>SUM(I102:I109)</f>
        <v>3320.1943242851362</v>
      </c>
      <c r="J118" s="27">
        <f>SUM(J102:J109)</f>
        <v>3174.0485355726828</v>
      </c>
      <c r="K118" s="27">
        <f t="shared" ref="K118" si="8">SUM(K102:K109)</f>
        <v>3084.7738045599649</v>
      </c>
      <c r="L118" s="27">
        <f>SUM(L102:L109)</f>
        <v>1571.9561746410382</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f t="shared" ref="C119" si="9">SUM(C110:C116)</f>
        <v>807.00999999999988</v>
      </c>
      <c r="D119" s="24"/>
      <c r="E119" s="24">
        <f t="shared" ref="E119" si="10">SUM(E110:E116)</f>
        <v>2368.8237764736446</v>
      </c>
      <c r="F119" s="24">
        <f>SUM(F110:F116)</f>
        <v>2917.8402421828605</v>
      </c>
      <c r="G119" s="24">
        <f>SUM(G110:G116)</f>
        <v>2899.1312055856188</v>
      </c>
      <c r="H119" s="24">
        <f t="shared" ref="H119" si="11">SUM(H110:H116)</f>
        <v>3218.8303379656859</v>
      </c>
      <c r="I119" s="24">
        <f>SUM(I110:I116)</f>
        <v>3359.3159499915637</v>
      </c>
      <c r="J119" s="24">
        <f>SUM(J110:J116)</f>
        <v>3235.4514211568671</v>
      </c>
      <c r="K119" s="24">
        <f t="shared" ref="K119" si="12">SUM(K110:K116)</f>
        <v>3147.9394678750859</v>
      </c>
      <c r="L119" s="24">
        <f>SUM(L110:L116)</f>
        <v>4519.9922063502854</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4"/>
      <c r="D121" s="124"/>
      <c r="E121" s="123"/>
      <c r="F121" s="123"/>
      <c r="G121" s="123"/>
      <c r="H121" s="123"/>
      <c r="I121" s="123"/>
      <c r="J121" s="12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3"/>
      <c r="D122" s="123"/>
      <c r="E122" s="123"/>
      <c r="F122" s="123"/>
      <c r="G122" s="123"/>
      <c r="I122" s="123"/>
      <c r="J122" s="12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3"/>
      <c r="D123" s="123"/>
      <c r="E123" s="123"/>
      <c r="F123" s="123"/>
      <c r="G123" s="123"/>
      <c r="H123" s="123"/>
      <c r="I123" s="123"/>
      <c r="J123" s="12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3" t="s">
        <v>606</v>
      </c>
      <c r="C150" s="654" t="s">
        <v>80</v>
      </c>
      <c r="D150" s="654" t="s">
        <v>80</v>
      </c>
      <c r="E150" s="654" t="s">
        <v>80</v>
      </c>
      <c r="F150" s="654" t="s">
        <v>80</v>
      </c>
      <c r="G150" s="654" t="s">
        <v>80</v>
      </c>
      <c r="H150" s="654" t="s">
        <v>80</v>
      </c>
      <c r="I150" s="654" t="s">
        <v>80</v>
      </c>
      <c r="J150" s="654" t="s">
        <v>80</v>
      </c>
      <c r="K150" s="654" t="s">
        <v>80</v>
      </c>
      <c r="L150" s="654"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6"/>
      <c r="C151" s="655">
        <f t="shared" ref="C151:E151" si="13">C101</f>
        <v>1990</v>
      </c>
      <c r="D151" s="655" t="str">
        <f t="shared" si="13"/>
        <v>…</v>
      </c>
      <c r="E151" s="655">
        <f t="shared" si="13"/>
        <v>2007</v>
      </c>
      <c r="F151" s="655">
        <f t="shared" ref="F151:I151" si="14">F101</f>
        <v>2009</v>
      </c>
      <c r="G151" s="655">
        <f t="shared" si="14"/>
        <v>2011</v>
      </c>
      <c r="H151" s="655">
        <f t="shared" si="14"/>
        <v>2013</v>
      </c>
      <c r="I151" s="655">
        <f t="shared" si="14"/>
        <v>2015</v>
      </c>
      <c r="J151" s="655">
        <f>J101</f>
        <v>2017</v>
      </c>
      <c r="K151" s="655">
        <f>K101</f>
        <v>2018</v>
      </c>
      <c r="L151" s="655">
        <f>L101</f>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6" t="s">
        <v>10</v>
      </c>
      <c r="C152" s="191">
        <f t="shared" ref="C152:E152" si="15">C102+C116</f>
        <v>708.91875270154026</v>
      </c>
      <c r="D152" s="191"/>
      <c r="E152" s="191">
        <f t="shared" si="15"/>
        <v>35.311778887828353</v>
      </c>
      <c r="F152" s="191">
        <f t="shared" ref="F152:I152" si="16">F102+F116</f>
        <v>434.09936210217552</v>
      </c>
      <c r="G152" s="191">
        <f t="shared" si="16"/>
        <v>279.74294406787817</v>
      </c>
      <c r="H152" s="191">
        <f t="shared" si="16"/>
        <v>151.20961492983287</v>
      </c>
      <c r="I152" s="191">
        <f t="shared" si="16"/>
        <v>-270.90177626901021</v>
      </c>
      <c r="J152" s="191">
        <f>J102+J116</f>
        <v>-188.86813638540309</v>
      </c>
      <c r="K152" s="191">
        <f>K102+K116</f>
        <v>-131.98567831968447</v>
      </c>
      <c r="L152" s="191">
        <f>L102+L116</f>
        <v>-23.359213482718847</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6" t="s">
        <v>83</v>
      </c>
      <c r="C153" s="191">
        <f t="shared" ref="C153:E153" si="17">C103</f>
        <v>263.39999999999998</v>
      </c>
      <c r="D153" s="191"/>
      <c r="E153" s="191">
        <f t="shared" si="17"/>
        <v>0</v>
      </c>
      <c r="F153" s="191">
        <f t="shared" ref="F153:I153" si="18">F103</f>
        <v>0</v>
      </c>
      <c r="G153" s="191">
        <f t="shared" si="18"/>
        <v>0</v>
      </c>
      <c r="H153" s="191">
        <f t="shared" si="18"/>
        <v>0</v>
      </c>
      <c r="I153" s="191">
        <f t="shared" si="18"/>
        <v>0</v>
      </c>
      <c r="J153" s="191">
        <f>J103</f>
        <v>0</v>
      </c>
      <c r="K153" s="191">
        <f>K103</f>
        <v>0</v>
      </c>
      <c r="L153" s="191">
        <f>L103</f>
        <v>0</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6" t="s">
        <v>602</v>
      </c>
      <c r="C154" s="191">
        <f t="shared" ref="C154:E154" si="19">C104+C105+C106+C107+C108</f>
        <v>5230.3234019744623</v>
      </c>
      <c r="D154" s="191"/>
      <c r="E154" s="191">
        <f t="shared" si="19"/>
        <v>4828.8248587109847</v>
      </c>
      <c r="F154" s="191">
        <f t="shared" ref="F154:I154" si="20">F104+F105+F106+F107+F108</f>
        <v>4479.5540540570182</v>
      </c>
      <c r="G154" s="191">
        <f t="shared" si="20"/>
        <v>4438.8582413328513</v>
      </c>
      <c r="H154" s="191">
        <f t="shared" si="20"/>
        <v>3810.9348401823081</v>
      </c>
      <c r="I154" s="191">
        <f t="shared" si="20"/>
        <v>3480.0263722838527</v>
      </c>
      <c r="J154" s="191">
        <f>J104+J105+J106+J107+J108</f>
        <v>3268.3826037653844</v>
      </c>
      <c r="K154" s="191">
        <f>K104+K105+K106+K107+K108</f>
        <v>3158.6857844189881</v>
      </c>
      <c r="L154" s="191">
        <f>L104+L105+L106+L107+L108</f>
        <v>1581.5638191464805</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6" t="s">
        <v>89</v>
      </c>
      <c r="C155" s="191">
        <f t="shared" ref="C155:E155" si="21">C109</f>
        <v>22.41</v>
      </c>
      <c r="D155" s="191"/>
      <c r="E155" s="191">
        <f t="shared" si="21"/>
        <v>0</v>
      </c>
      <c r="F155" s="191">
        <f t="shared" ref="F155:I156" si="22">F109</f>
        <v>0</v>
      </c>
      <c r="G155" s="191">
        <f t="shared" si="22"/>
        <v>0</v>
      </c>
      <c r="H155" s="191">
        <f t="shared" si="22"/>
        <v>0</v>
      </c>
      <c r="I155" s="191">
        <f t="shared" si="22"/>
        <v>0</v>
      </c>
      <c r="J155" s="191">
        <f t="shared" ref="J155:L156" si="23">J109</f>
        <v>0.1</v>
      </c>
      <c r="K155" s="191">
        <f t="shared" si="23"/>
        <v>0</v>
      </c>
      <c r="L155" s="191">
        <f t="shared" si="23"/>
        <v>0</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6" t="s">
        <v>91</v>
      </c>
      <c r="C156" s="191">
        <f t="shared" ref="C156:E156" si="24">C110</f>
        <v>27.39</v>
      </c>
      <c r="D156" s="191"/>
      <c r="E156" s="191">
        <f t="shared" si="24"/>
        <v>0</v>
      </c>
      <c r="F156" s="191">
        <f t="shared" si="22"/>
        <v>0</v>
      </c>
      <c r="G156" s="191">
        <f t="shared" si="22"/>
        <v>0</v>
      </c>
      <c r="H156" s="191">
        <f t="shared" si="22"/>
        <v>0</v>
      </c>
      <c r="I156" s="191">
        <f t="shared" si="22"/>
        <v>0</v>
      </c>
      <c r="J156" s="191">
        <f t="shared" si="23"/>
        <v>0</v>
      </c>
      <c r="K156" s="191">
        <f t="shared" si="23"/>
        <v>0</v>
      </c>
      <c r="L156" s="191">
        <f t="shared" si="23"/>
        <v>0</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6" t="s">
        <v>603</v>
      </c>
      <c r="C157" s="191">
        <f t="shared" ref="C157:E157" si="25">C112+C113+C114+C115</f>
        <v>93.16</v>
      </c>
      <c r="D157" s="191"/>
      <c r="E157" s="191">
        <f t="shared" si="25"/>
        <v>735.5507037092118</v>
      </c>
      <c r="F157" s="191">
        <f t="shared" ref="F157:I157" si="26">F112+F113+F114+F115</f>
        <v>605.02615399936406</v>
      </c>
      <c r="G157" s="191">
        <f t="shared" si="26"/>
        <v>738.14966666666658</v>
      </c>
      <c r="H157" s="191">
        <f t="shared" si="26"/>
        <v>828.9666666666667</v>
      </c>
      <c r="I157" s="191">
        <f t="shared" si="26"/>
        <v>1298.1196</v>
      </c>
      <c r="J157" s="191">
        <f>J112+J113+J114+J115</f>
        <v>1297.2518600000001</v>
      </c>
      <c r="K157" s="191">
        <f>K112+K113+K114+K115</f>
        <v>1235.5567000000001</v>
      </c>
      <c r="L157" s="191">
        <f>L112+L113+L114+L115</f>
        <v>2446.5174000000006</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6" t="s">
        <v>92</v>
      </c>
      <c r="C158" s="191">
        <f t="shared" ref="C158:E158" si="27">C111</f>
        <v>686.45999999999992</v>
      </c>
      <c r="D158" s="191"/>
      <c r="E158" s="191">
        <f t="shared" si="27"/>
        <v>1629.3887770867709</v>
      </c>
      <c r="F158" s="191">
        <f t="shared" ref="F158:I158" si="28">F111</f>
        <v>2252.040177489192</v>
      </c>
      <c r="G158" s="191">
        <f t="shared" si="28"/>
        <v>2079.8560851392676</v>
      </c>
      <c r="H158" s="191">
        <f t="shared" si="28"/>
        <v>2339.9644983721741</v>
      </c>
      <c r="I158" s="191">
        <f t="shared" si="28"/>
        <v>2172.2660782618573</v>
      </c>
      <c r="J158" s="191">
        <f>J111</f>
        <v>2032.6336293495688</v>
      </c>
      <c r="K158" s="191">
        <f>K111</f>
        <v>1970.4564663357473</v>
      </c>
      <c r="L158" s="191">
        <f>L111</f>
        <v>2087.226375327562</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6" t="s">
        <v>98</v>
      </c>
      <c r="C159" s="657">
        <f t="shared" ref="C159" si="29">SUM(C152:C158)</f>
        <v>7032.062154676003</v>
      </c>
      <c r="D159" s="657"/>
      <c r="E159" s="657">
        <f t="shared" ref="E159" si="30">SUM(E152:E158)</f>
        <v>7229.0761183947961</v>
      </c>
      <c r="F159" s="657">
        <f t="shared" ref="F159:I159" si="31">SUM(F152:F158)</f>
        <v>7770.7197476477504</v>
      </c>
      <c r="G159" s="657">
        <f t="shared" si="31"/>
        <v>7536.6069372066631</v>
      </c>
      <c r="H159" s="657">
        <f t="shared" si="31"/>
        <v>7131.0756201509812</v>
      </c>
      <c r="I159" s="657">
        <f t="shared" si="31"/>
        <v>6679.5102742766994</v>
      </c>
      <c r="J159" s="657">
        <f>SUM(J152:J158)</f>
        <v>6409.4999567295499</v>
      </c>
      <c r="K159" s="657">
        <f>SUM(K152:K158)</f>
        <v>6232.7132724350504</v>
      </c>
      <c r="L159" s="657">
        <f>SUM(L152:L158)</f>
        <v>6091.9483809913245</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8"/>
      <c r="C160" s="659"/>
      <c r="D160" s="659"/>
      <c r="E160" s="659"/>
      <c r="F160" s="659"/>
      <c r="G160" s="659"/>
      <c r="H160" s="659"/>
      <c r="I160" s="659"/>
      <c r="J160" s="659"/>
      <c r="K160" s="659"/>
      <c r="L160" s="659"/>
      <c r="M160" s="659"/>
      <c r="N160" s="659"/>
      <c r="O160" s="659"/>
      <c r="P160" s="659"/>
      <c r="Q160" s="659"/>
      <c r="R160" s="659"/>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628</v>
      </c>
      <c r="C161" s="659"/>
      <c r="D161" s="659"/>
      <c r="E161" s="659"/>
      <c r="F161" s="659"/>
      <c r="G161" s="659"/>
      <c r="H161" s="659"/>
      <c r="I161" s="659"/>
      <c r="J161" s="659"/>
      <c r="K161" s="659"/>
      <c r="L161" s="659"/>
      <c r="M161" s="659"/>
      <c r="N161" s="659"/>
      <c r="O161" s="659"/>
      <c r="P161" s="659"/>
      <c r="Q161" s="659"/>
      <c r="R161" s="659"/>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8"/>
      <c r="C162" s="659"/>
      <c r="D162" s="659"/>
      <c r="E162" s="659"/>
      <c r="F162" s="659"/>
      <c r="G162" s="659"/>
      <c r="H162" s="659"/>
      <c r="I162" s="659"/>
      <c r="J162" s="659"/>
      <c r="K162" s="659"/>
      <c r="L162" s="659"/>
      <c r="M162" s="659"/>
      <c r="N162" s="659"/>
      <c r="O162" s="659"/>
      <c r="P162" s="659"/>
      <c r="Q162" s="659"/>
      <c r="R162" s="659"/>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8"/>
      <c r="C163" s="659"/>
      <c r="D163" s="659"/>
      <c r="E163" s="659"/>
      <c r="F163" s="659"/>
      <c r="G163" s="659"/>
      <c r="H163" s="659"/>
      <c r="I163" s="659"/>
      <c r="J163" s="659"/>
      <c r="K163" s="659"/>
      <c r="L163" s="659"/>
      <c r="M163" s="659"/>
      <c r="N163" s="659"/>
      <c r="O163" s="659"/>
      <c r="P163" s="659"/>
      <c r="Q163" s="659"/>
      <c r="R163" s="659"/>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8"/>
      <c r="C164" s="659"/>
      <c r="D164" s="659"/>
      <c r="E164" s="659"/>
      <c r="F164" s="659"/>
      <c r="G164" s="659"/>
      <c r="H164" s="659"/>
      <c r="I164" s="659"/>
      <c r="J164" s="659"/>
      <c r="K164" s="659"/>
      <c r="L164" s="659"/>
      <c r="M164" s="659"/>
      <c r="N164" s="659"/>
      <c r="O164" s="659"/>
      <c r="P164" s="659"/>
      <c r="Q164" s="659"/>
      <c r="R164" s="659"/>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8"/>
      <c r="C165" s="659"/>
      <c r="D165" s="659"/>
      <c r="E165" s="659"/>
      <c r="F165" s="659"/>
      <c r="G165" s="659"/>
      <c r="H165" s="659"/>
      <c r="I165" s="659"/>
      <c r="J165" s="659"/>
      <c r="K165" s="659"/>
      <c r="L165" s="659"/>
      <c r="M165" s="659"/>
      <c r="N165" s="659"/>
      <c r="O165" s="659"/>
      <c r="P165" s="659"/>
      <c r="Q165" s="659"/>
      <c r="R165" s="659"/>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8"/>
      <c r="C166" s="659"/>
      <c r="D166" s="659"/>
      <c r="E166" s="659"/>
      <c r="F166" s="659"/>
      <c r="G166" s="659"/>
      <c r="H166" s="659"/>
      <c r="I166" s="659"/>
      <c r="J166" s="659"/>
      <c r="K166" s="659"/>
      <c r="L166" s="659"/>
      <c r="M166" s="659"/>
      <c r="N166" s="659"/>
      <c r="O166" s="659"/>
      <c r="P166" s="659"/>
      <c r="Q166" s="659"/>
      <c r="R166" s="659"/>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8"/>
      <c r="C167" s="659"/>
      <c r="D167" s="659"/>
      <c r="E167" s="659"/>
      <c r="F167" s="659"/>
      <c r="G167" s="659"/>
      <c r="H167" s="659"/>
      <c r="I167" s="659"/>
      <c r="J167" s="659"/>
      <c r="K167" s="659"/>
      <c r="L167" s="659"/>
      <c r="M167" s="659"/>
      <c r="N167" s="659"/>
      <c r="O167" s="659"/>
      <c r="P167" s="659"/>
      <c r="Q167" s="659"/>
      <c r="R167" s="659"/>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8"/>
      <c r="C168" s="659"/>
      <c r="D168" s="659"/>
      <c r="E168" s="659"/>
      <c r="F168" s="659"/>
      <c r="G168" s="659"/>
      <c r="H168" s="659"/>
      <c r="I168" s="659"/>
      <c r="J168" s="659"/>
      <c r="K168" s="659"/>
      <c r="L168" s="659"/>
      <c r="M168" s="659"/>
      <c r="N168" s="659"/>
      <c r="O168" s="659"/>
      <c r="P168" s="659"/>
      <c r="Q168" s="659"/>
      <c r="R168" s="659"/>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8"/>
      <c r="C169" s="659"/>
      <c r="D169" s="659"/>
      <c r="E169" s="659"/>
      <c r="F169" s="659"/>
      <c r="G169" s="659"/>
      <c r="H169" s="659"/>
      <c r="I169" s="659"/>
      <c r="J169" s="659"/>
      <c r="K169" s="659"/>
      <c r="L169" s="659"/>
      <c r="M169" s="659"/>
      <c r="N169" s="659"/>
      <c r="O169" s="659"/>
      <c r="P169" s="659"/>
      <c r="Q169" s="659"/>
      <c r="R169" s="659"/>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8"/>
      <c r="C170" s="659"/>
      <c r="D170" s="659"/>
      <c r="E170" s="659"/>
      <c r="F170" s="659"/>
      <c r="G170" s="659"/>
      <c r="H170" s="659"/>
      <c r="I170" s="659"/>
      <c r="J170" s="659"/>
      <c r="K170" s="659"/>
      <c r="L170" s="659"/>
      <c r="M170" s="659"/>
      <c r="N170" s="659"/>
      <c r="O170" s="659"/>
      <c r="P170" s="659"/>
      <c r="Q170" s="659"/>
      <c r="R170" s="659"/>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8"/>
      <c r="C171" s="659"/>
      <c r="D171" s="659"/>
      <c r="E171" s="659"/>
      <c r="F171" s="659"/>
      <c r="G171" s="659"/>
      <c r="H171" s="659"/>
      <c r="I171" s="659"/>
      <c r="J171" s="659"/>
      <c r="K171" s="659"/>
      <c r="L171" s="659"/>
      <c r="M171" s="659"/>
      <c r="N171" s="659"/>
      <c r="O171" s="659"/>
      <c r="P171" s="659"/>
      <c r="Q171" s="659"/>
      <c r="R171" s="659"/>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8"/>
      <c r="C172" s="659"/>
      <c r="D172" s="659"/>
      <c r="E172" s="659"/>
      <c r="F172" s="659"/>
      <c r="G172" s="659"/>
      <c r="H172" s="659"/>
      <c r="I172" s="659"/>
      <c r="J172" s="659"/>
      <c r="K172" s="659"/>
      <c r="L172" s="659"/>
      <c r="M172" s="659"/>
      <c r="N172" s="659"/>
      <c r="O172" s="659"/>
      <c r="P172" s="659"/>
      <c r="Q172" s="659"/>
      <c r="R172" s="659"/>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8"/>
      <c r="C173" s="659"/>
      <c r="D173" s="659"/>
      <c r="E173" s="659"/>
      <c r="F173" s="659"/>
      <c r="G173" s="659"/>
      <c r="H173" s="659"/>
      <c r="I173" s="659"/>
      <c r="J173" s="659"/>
      <c r="K173" s="659"/>
      <c r="L173" s="659"/>
      <c r="M173" s="659"/>
      <c r="N173" s="659"/>
      <c r="O173" s="659"/>
      <c r="P173" s="659"/>
      <c r="Q173" s="659"/>
      <c r="R173" s="659"/>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8"/>
      <c r="C174" s="659"/>
      <c r="D174" s="659"/>
      <c r="E174" s="659"/>
      <c r="F174" s="659"/>
      <c r="G174" s="659"/>
      <c r="H174" s="659"/>
      <c r="I174" s="659"/>
      <c r="J174" s="659"/>
      <c r="K174" s="659"/>
      <c r="L174" s="659"/>
      <c r="M174" s="659"/>
      <c r="N174" s="659"/>
      <c r="O174" s="659"/>
      <c r="P174" s="659"/>
      <c r="Q174" s="659"/>
      <c r="R174" s="659"/>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8"/>
      <c r="C175" s="659"/>
      <c r="D175" s="659"/>
      <c r="E175" s="659"/>
      <c r="F175" s="659"/>
      <c r="G175" s="659"/>
      <c r="H175" s="659"/>
      <c r="I175" s="659"/>
      <c r="J175" s="659"/>
      <c r="K175" s="659"/>
      <c r="L175" s="659"/>
      <c r="M175" s="659"/>
      <c r="N175" s="659"/>
      <c r="O175" s="659"/>
      <c r="P175" s="659"/>
      <c r="Q175" s="659"/>
      <c r="R175" s="659"/>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8"/>
      <c r="C176" s="659"/>
      <c r="D176" s="659"/>
      <c r="E176" s="659"/>
      <c r="F176" s="659"/>
      <c r="G176" s="659"/>
      <c r="H176" s="659"/>
      <c r="I176" s="659"/>
      <c r="J176" s="659"/>
      <c r="K176" s="659"/>
      <c r="L176" s="659"/>
      <c r="M176" s="659"/>
      <c r="N176" s="659"/>
      <c r="O176" s="659"/>
      <c r="P176" s="659"/>
      <c r="Q176" s="659"/>
      <c r="R176" s="659"/>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8"/>
      <c r="C177" s="659"/>
      <c r="D177" s="659"/>
      <c r="E177" s="659"/>
      <c r="F177" s="659"/>
      <c r="G177" s="659"/>
      <c r="H177" s="659"/>
      <c r="I177" s="659"/>
      <c r="J177" s="659"/>
      <c r="K177" s="659"/>
      <c r="L177" s="659"/>
      <c r="M177" s="659"/>
      <c r="N177" s="659"/>
      <c r="O177" s="659"/>
      <c r="P177" s="659"/>
      <c r="Q177" s="659"/>
      <c r="R177" s="659"/>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8"/>
      <c r="C178" s="659"/>
      <c r="D178" s="659"/>
      <c r="E178" s="659"/>
      <c r="F178" s="659"/>
      <c r="G178" s="659"/>
      <c r="H178" s="659"/>
      <c r="I178" s="659"/>
      <c r="J178" s="659"/>
      <c r="K178" s="659"/>
      <c r="L178" s="659"/>
      <c r="M178" s="659"/>
      <c r="N178" s="659"/>
      <c r="O178" s="659"/>
      <c r="P178" s="659"/>
      <c r="Q178" s="659"/>
      <c r="R178" s="659"/>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8"/>
      <c r="C179" s="659"/>
      <c r="D179" s="659"/>
      <c r="E179" s="659"/>
      <c r="F179" s="659"/>
      <c r="G179" s="659"/>
      <c r="H179" s="659"/>
      <c r="I179" s="659"/>
      <c r="J179" s="659"/>
      <c r="K179" s="659"/>
      <c r="L179" s="659"/>
      <c r="M179" s="659"/>
      <c r="N179" s="659"/>
      <c r="O179" s="659"/>
      <c r="P179" s="659"/>
      <c r="Q179" s="659"/>
      <c r="R179" s="659"/>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8"/>
      <c r="C180" s="659"/>
      <c r="D180" s="659"/>
      <c r="E180" s="659"/>
      <c r="F180" s="659"/>
      <c r="G180" s="659"/>
      <c r="H180" s="659"/>
      <c r="I180" s="659"/>
      <c r="J180" s="659"/>
      <c r="K180" s="659"/>
      <c r="L180" s="659"/>
      <c r="M180" s="659"/>
      <c r="N180" s="659"/>
      <c r="O180" s="659"/>
      <c r="P180" s="659"/>
      <c r="Q180" s="659"/>
      <c r="R180" s="659"/>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8"/>
      <c r="C181" s="659"/>
      <c r="D181" s="659"/>
      <c r="E181" s="659"/>
      <c r="F181" s="659"/>
      <c r="G181" s="659"/>
      <c r="H181" s="659"/>
      <c r="I181" s="659"/>
      <c r="J181" s="659"/>
      <c r="K181" s="659"/>
      <c r="L181" s="659"/>
      <c r="M181" s="659"/>
      <c r="N181" s="659"/>
      <c r="O181" s="659"/>
      <c r="P181" s="659"/>
      <c r="Q181" s="659"/>
      <c r="R181" s="659"/>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8"/>
      <c r="C182" s="659"/>
      <c r="D182" s="659"/>
      <c r="E182" s="659"/>
      <c r="F182" s="659"/>
      <c r="G182" s="659"/>
      <c r="H182" s="659"/>
      <c r="I182" s="659"/>
      <c r="J182" s="659"/>
      <c r="K182" s="659"/>
      <c r="L182" s="659"/>
      <c r="M182" s="659"/>
      <c r="N182" s="659"/>
      <c r="O182" s="659"/>
      <c r="P182" s="659"/>
      <c r="Q182" s="659"/>
      <c r="R182" s="659"/>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8"/>
      <c r="C183" s="659"/>
      <c r="D183" s="659"/>
      <c r="E183" s="659"/>
      <c r="F183" s="659"/>
      <c r="G183" s="659"/>
      <c r="H183" s="659"/>
      <c r="I183" s="659"/>
      <c r="J183" s="659"/>
      <c r="K183" s="659"/>
      <c r="L183" s="659"/>
      <c r="M183" s="659"/>
      <c r="N183" s="659"/>
      <c r="O183" s="659"/>
      <c r="P183" s="659"/>
      <c r="Q183" s="659"/>
      <c r="R183" s="659"/>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8"/>
      <c r="C184" s="659"/>
      <c r="D184" s="659"/>
      <c r="E184" s="659"/>
      <c r="F184" s="659"/>
      <c r="G184" s="659"/>
      <c r="H184" s="659"/>
      <c r="I184" s="659"/>
      <c r="J184" s="659"/>
      <c r="K184" s="659"/>
      <c r="L184" s="659"/>
      <c r="M184" s="659"/>
      <c r="N184" s="659"/>
      <c r="O184" s="659"/>
      <c r="P184" s="659"/>
      <c r="Q184" s="659"/>
      <c r="R184" s="659"/>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8"/>
      <c r="C185" s="659"/>
      <c r="D185" s="659"/>
      <c r="E185" s="659"/>
      <c r="F185" s="659"/>
      <c r="G185" s="659"/>
      <c r="H185" s="659"/>
      <c r="I185" s="659"/>
      <c r="J185" s="659"/>
      <c r="K185" s="659"/>
      <c r="L185" s="659"/>
      <c r="M185" s="659"/>
      <c r="N185" s="659"/>
      <c r="O185" s="659"/>
      <c r="P185" s="659"/>
      <c r="Q185" s="659"/>
      <c r="R185" s="659"/>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3" t="s">
        <v>604</v>
      </c>
      <c r="C189" s="654" t="s">
        <v>605</v>
      </c>
      <c r="D189" s="654"/>
      <c r="E189" s="654" t="s">
        <v>605</v>
      </c>
      <c r="F189" s="654" t="s">
        <v>605</v>
      </c>
      <c r="G189" s="654" t="s">
        <v>605</v>
      </c>
      <c r="H189" s="654" t="s">
        <v>605</v>
      </c>
      <c r="I189" s="654" t="s">
        <v>605</v>
      </c>
      <c r="J189" s="654" t="s">
        <v>605</v>
      </c>
      <c r="K189" s="654" t="s">
        <v>605</v>
      </c>
      <c r="L189" s="654"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6"/>
      <c r="C190" s="655">
        <f t="shared" ref="C190:E190" si="32">C151</f>
        <v>1990</v>
      </c>
      <c r="D190" s="655" t="s">
        <v>610</v>
      </c>
      <c r="E190" s="655">
        <f t="shared" si="32"/>
        <v>2007</v>
      </c>
      <c r="F190" s="655">
        <f t="shared" ref="F190:I190" si="33">F151</f>
        <v>2009</v>
      </c>
      <c r="G190" s="655">
        <f t="shared" si="33"/>
        <v>2011</v>
      </c>
      <c r="H190" s="655">
        <f t="shared" si="33"/>
        <v>2013</v>
      </c>
      <c r="I190" s="655">
        <f t="shared" si="33"/>
        <v>2015</v>
      </c>
      <c r="J190" s="655">
        <f>J151</f>
        <v>2017</v>
      </c>
      <c r="K190" s="655">
        <f>K151</f>
        <v>2018</v>
      </c>
      <c r="L190" s="655">
        <f>L151</f>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6" t="s">
        <v>10</v>
      </c>
      <c r="C191" s="191">
        <f>C152/'E1990'!$D$1*1000</f>
        <v>14.852375871059484</v>
      </c>
      <c r="D191" s="191"/>
      <c r="E191" s="191">
        <f>E152/'E2007'!$D$1*1000</f>
        <v>0.73042733095789247</v>
      </c>
      <c r="F191" s="191">
        <f>F152/'E2009'!$D$1*1000</f>
        <v>8.9875644327572566</v>
      </c>
      <c r="G191" s="191">
        <f>G152/'E2011'!$D$1*1000</f>
        <v>5.8296783242587038</v>
      </c>
      <c r="H191" s="191">
        <f>H152/'E2013'!$D$1*1000</f>
        <v>3.1974290019207223</v>
      </c>
      <c r="I191" s="191">
        <f>I152/'E2015'!$D$1*1000</f>
        <v>-5.8082325908323194</v>
      </c>
      <c r="J191" s="191">
        <f>J152/'E2017'!$D$1*1000</f>
        <v>-4.0581894367297613</v>
      </c>
      <c r="K191" s="191">
        <f>K152/'E2018'!$D$1*1000</f>
        <v>-2.8323714740591956</v>
      </c>
      <c r="L191" s="191">
        <f>L152/'E2020'!$D$1*1000</f>
        <v>-0.50945919353381275</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6" t="s">
        <v>83</v>
      </c>
      <c r="C192" s="191">
        <f>C153/'E1990'!$D$1*1000</f>
        <v>5.5184261800506995</v>
      </c>
      <c r="D192" s="191"/>
      <c r="E192" s="191">
        <f>E153/'E2007'!$D$1*1000</f>
        <v>0</v>
      </c>
      <c r="F192" s="191">
        <f>F153/'E2009'!$D$1*1000</f>
        <v>0</v>
      </c>
      <c r="G192" s="191">
        <f>G153/'E2011'!$D$1*1000</f>
        <v>0</v>
      </c>
      <c r="H192" s="191">
        <f>H153/'E2013'!$D$1*1000</f>
        <v>0</v>
      </c>
      <c r="I192" s="191">
        <f>I153/'E2015'!$D$1*1000</f>
        <v>0</v>
      </c>
      <c r="J192" s="191">
        <f>J153/'E2017'!$D$1*1000</f>
        <v>0</v>
      </c>
      <c r="K192" s="191">
        <f>K153/'E2018'!$D$1*1000</f>
        <v>0</v>
      </c>
      <c r="L192" s="191">
        <f>L153/'E2020'!$D$1*1000</f>
        <v>0</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6" t="s">
        <v>602</v>
      </c>
      <c r="C193" s="191">
        <f>C154/'E1990'!$D$1*1000</f>
        <v>109.57917081088731</v>
      </c>
      <c r="D193" s="191"/>
      <c r="E193" s="191">
        <f>E154/'E2007'!$D$1*1000</f>
        <v>99.884677699631482</v>
      </c>
      <c r="F193" s="191">
        <f>F154/'E2009'!$D$1*1000</f>
        <v>92.744390353147367</v>
      </c>
      <c r="G193" s="191">
        <f>G154/'E2011'!$D$1*1000</f>
        <v>92.503193459193341</v>
      </c>
      <c r="H193" s="191">
        <f>H154/'E2013'!$D$1*1000</f>
        <v>80.584780194588987</v>
      </c>
      <c r="I193" s="191">
        <f>I154/'E2015'!$D$1*1000</f>
        <v>74.613030858769164</v>
      </c>
      <c r="J193" s="191">
        <f>J154/'E2017'!$D$1*1000</f>
        <v>70.227387274718183</v>
      </c>
      <c r="K193" s="191">
        <f>K154/'E2018'!$D$1*1000</f>
        <v>67.784411348290476</v>
      </c>
      <c r="L193" s="191">
        <f>L154/'E2020'!$D$1*1000</f>
        <v>34.493551267071176</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6" t="s">
        <v>89</v>
      </c>
      <c r="C194" s="191">
        <f>C155/'E1990'!$D$1*1000</f>
        <v>0.46950619094508811</v>
      </c>
      <c r="D194" s="191"/>
      <c r="E194" s="191">
        <f>E155/'E2007'!$D$1*1000</f>
        <v>0</v>
      </c>
      <c r="F194" s="191">
        <f>F155/'E2009'!$D$1*1000</f>
        <v>0</v>
      </c>
      <c r="G194" s="191">
        <f>G155/'E2011'!$D$1*1000</f>
        <v>0</v>
      </c>
      <c r="H194" s="191">
        <f>H155/'E2013'!$D$1*1000</f>
        <v>0</v>
      </c>
      <c r="I194" s="191">
        <f>I155/'E2015'!$D$1*1000</f>
        <v>0</v>
      </c>
      <c r="J194" s="191">
        <f>J155/'E2017'!$D$1*1000</f>
        <v>2.1486892995272885E-3</v>
      </c>
      <c r="K194" s="191">
        <f>K155/'E2018'!$D$1*1000</f>
        <v>0</v>
      </c>
      <c r="L194" s="191">
        <f>L155/'E2020'!$D$1*1000</f>
        <v>0</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6" t="s">
        <v>91</v>
      </c>
      <c r="C195" s="191">
        <f>C156/'E1990'!$D$1*1000</f>
        <v>0.57384090004399668</v>
      </c>
      <c r="D195" s="191"/>
      <c r="E195" s="191">
        <f>E156/'E2007'!$D$1*1000</f>
        <v>0</v>
      </c>
      <c r="F195" s="191">
        <f>F156/'E2009'!$D$1*1000</f>
        <v>0</v>
      </c>
      <c r="G195" s="191">
        <f>G156/'E2011'!$D$1*1000</f>
        <v>0</v>
      </c>
      <c r="H195" s="191">
        <f>H156/'E2013'!$D$1*1000</f>
        <v>0</v>
      </c>
      <c r="I195" s="191">
        <f>I156/'E2015'!$D$1*1000</f>
        <v>0</v>
      </c>
      <c r="J195" s="191">
        <f>J156/'E2017'!$D$1*1000</f>
        <v>0</v>
      </c>
      <c r="K195" s="191">
        <f>K156/'E2018'!$D$1*1000</f>
        <v>0</v>
      </c>
      <c r="L195" s="191">
        <f>L156/'E2020'!$D$1*1000</f>
        <v>0</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6" t="s">
        <v>603</v>
      </c>
      <c r="C196" s="191">
        <f>C157/'E1990'!$D$1*1000</f>
        <v>1.9517713854727534</v>
      </c>
      <c r="D196" s="191"/>
      <c r="E196" s="191">
        <f>E157/'E2007'!$D$1*1000</f>
        <v>15.214932643331371</v>
      </c>
      <c r="F196" s="191">
        <f>F157/'E2009'!$D$1*1000</f>
        <v>12.526421407854327</v>
      </c>
      <c r="G196" s="191">
        <f>G157/'E2011'!$D$1*1000</f>
        <v>15.382604648578056</v>
      </c>
      <c r="H196" s="191">
        <f>H157/'E2013'!$D$1*1000</f>
        <v>17.529057678346128</v>
      </c>
      <c r="I196" s="191">
        <f>I157/'E2015'!$D$1*1000</f>
        <v>27.832156257370126</v>
      </c>
      <c r="J196" s="191">
        <f>J157/'E2017'!$D$1*1000</f>
        <v>27.873911903738719</v>
      </c>
      <c r="K196" s="191">
        <f>K157/'E2018'!$D$1*1000</f>
        <v>26.514661258825299</v>
      </c>
      <c r="L196" s="191">
        <f>L157/'E2020'!$D$1*1000</f>
        <v>53.357994373078029</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6" t="s">
        <v>92</v>
      </c>
      <c r="C197" s="191">
        <f>C158/'E1990'!$D$1*1000</f>
        <v>14.381848274706165</v>
      </c>
      <c r="D197" s="191"/>
      <c r="E197" s="191">
        <f>E158/'E2007'!$D$1*1000</f>
        <v>33.704053803714437</v>
      </c>
      <c r="F197" s="191">
        <f>F158/'E2009'!$D$1*1000</f>
        <v>46.626090631246207</v>
      </c>
      <c r="G197" s="191">
        <f>G158/'E2011'!$D$1*1000</f>
        <v>43.34297680863726</v>
      </c>
      <c r="H197" s="191">
        <f>H158/'E2013'!$D$1*1000</f>
        <v>49.480123033392701</v>
      </c>
      <c r="I197" s="191">
        <f>I158/'E2015'!$D$1*1000</f>
        <v>46.574174615935711</v>
      </c>
      <c r="J197" s="191">
        <f>J158/'E2017'!$D$1*1000</f>
        <v>43.674981292427347</v>
      </c>
      <c r="K197" s="191">
        <f>K158/'E2018'!$D$1*1000</f>
        <v>42.285380938126295</v>
      </c>
      <c r="L197" s="191">
        <f>L158/'E2020'!$D$1*1000</f>
        <v>45.521937914714229</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6" t="s">
        <v>98</v>
      </c>
      <c r="C198" s="657">
        <f t="shared" ref="C198:E198" si="34">SUM(C191:C197)</f>
        <v>147.32693961316548</v>
      </c>
      <c r="D198" s="657"/>
      <c r="E198" s="657">
        <f t="shared" si="34"/>
        <v>149.53409147763517</v>
      </c>
      <c r="F198" s="657">
        <f t="shared" ref="F198:I198" si="35">SUM(F191:F197)</f>
        <v>160.88446682500515</v>
      </c>
      <c r="G198" s="657">
        <f t="shared" si="35"/>
        <v>157.05845324066735</v>
      </c>
      <c r="H198" s="657">
        <f t="shared" si="35"/>
        <v>150.79138990824856</v>
      </c>
      <c r="I198" s="657">
        <f t="shared" si="35"/>
        <v>143.21112914124268</v>
      </c>
      <c r="J198" s="657">
        <f>SUM(J191:J197)</f>
        <v>137.72023972345403</v>
      </c>
      <c r="K198" s="657">
        <f>SUM(K191:K197)</f>
        <v>133.75208207118288</v>
      </c>
      <c r="L198" s="657">
        <f>SUM(L191:L197)</f>
        <v>132.8640243613296</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629</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90</v>
      </c>
      <c r="N375" s="76"/>
      <c r="O375" s="88" t="s">
        <v>90</v>
      </c>
      <c r="P375" s="76" t="s">
        <v>90</v>
      </c>
      <c r="Q375" s="76" t="s">
        <v>90</v>
      </c>
      <c r="R375" s="76" t="s">
        <v>90</v>
      </c>
      <c r="S375" s="76" t="s">
        <v>90</v>
      </c>
      <c r="T375" s="76" t="s">
        <v>90</v>
      </c>
      <c r="U375" s="76" t="s">
        <v>90</v>
      </c>
      <c r="V375" s="76" t="s">
        <v>90</v>
      </c>
      <c r="W375" s="76" t="s">
        <v>81</v>
      </c>
      <c r="X375" s="76"/>
      <c r="Y375" s="76" t="s">
        <v>81</v>
      </c>
      <c r="Z375" s="76" t="s">
        <v>81</v>
      </c>
      <c r="AA375" s="76" t="s">
        <v>81</v>
      </c>
      <c r="AB375" s="76" t="s">
        <v>81</v>
      </c>
      <c r="AC375" s="76" t="s">
        <v>81</v>
      </c>
      <c r="AD375" s="76" t="s">
        <v>81</v>
      </c>
      <c r="AE375" s="76" t="s">
        <v>81</v>
      </c>
      <c r="AF375" s="76" t="s">
        <v>81</v>
      </c>
      <c r="AG375" s="65"/>
      <c r="AH375" s="65"/>
      <c r="AI375" s="65"/>
      <c r="AJ375" s="65"/>
      <c r="AK375" s="65"/>
      <c r="AL375" s="65"/>
      <c r="AM375" s="65"/>
      <c r="AN375" s="65"/>
      <c r="AO375" s="65"/>
      <c r="AP375" s="65"/>
      <c r="AQ375" s="65"/>
      <c r="AR375" s="65"/>
      <c r="AS375" s="65"/>
      <c r="AT375" s="65"/>
      <c r="AU375" s="65"/>
      <c r="AV375" s="65"/>
      <c r="AW375" s="65"/>
      <c r="AX375" s="65"/>
      <c r="AY375" s="65"/>
    </row>
    <row r="376" spans="2:51" x14ac:dyDescent="0.2">
      <c r="B376" s="89"/>
      <c r="C376" s="69">
        <v>1990</v>
      </c>
      <c r="D376" s="69" t="s">
        <v>610</v>
      </c>
      <c r="E376" s="69">
        <v>2007</v>
      </c>
      <c r="F376" s="69">
        <v>2009</v>
      </c>
      <c r="G376" s="69">
        <v>2011</v>
      </c>
      <c r="H376" s="69">
        <v>2013</v>
      </c>
      <c r="I376" s="69">
        <v>2015</v>
      </c>
      <c r="J376" s="69">
        <v>2017</v>
      </c>
      <c r="K376" s="69">
        <v>2018</v>
      </c>
      <c r="L376" s="69">
        <v>2020</v>
      </c>
      <c r="M376" s="69">
        <v>1990</v>
      </c>
      <c r="N376" s="69" t="s">
        <v>610</v>
      </c>
      <c r="O376" s="69">
        <v>2007</v>
      </c>
      <c r="P376" s="69">
        <v>2009</v>
      </c>
      <c r="Q376" s="69">
        <v>2011</v>
      </c>
      <c r="R376" s="69">
        <v>2013</v>
      </c>
      <c r="S376" s="69">
        <v>2015</v>
      </c>
      <c r="T376" s="69">
        <v>2017</v>
      </c>
      <c r="U376" s="69">
        <v>2018</v>
      </c>
      <c r="V376" s="69">
        <v>2020</v>
      </c>
      <c r="W376" s="69">
        <v>1990</v>
      </c>
      <c r="X376" s="69" t="s">
        <v>610</v>
      </c>
      <c r="Y376" s="69">
        <v>2007</v>
      </c>
      <c r="Z376" s="69">
        <v>2009</v>
      </c>
      <c r="AA376" s="69">
        <v>2011</v>
      </c>
      <c r="AB376" s="69">
        <v>2013</v>
      </c>
      <c r="AC376" s="69">
        <v>2015</v>
      </c>
      <c r="AD376" s="69">
        <v>2017</v>
      </c>
      <c r="AE376" s="69">
        <v>2018</v>
      </c>
      <c r="AF376" s="69">
        <v>2020</v>
      </c>
      <c r="AG376" s="65"/>
      <c r="AH376" s="65"/>
      <c r="AI376" s="65"/>
      <c r="AJ376" s="65"/>
      <c r="AK376" s="65"/>
      <c r="AL376" s="65"/>
      <c r="AM376" s="65"/>
      <c r="AN376" s="65"/>
      <c r="AO376" s="65"/>
      <c r="AP376" s="65"/>
      <c r="AQ376" s="65"/>
      <c r="AR376" s="65"/>
      <c r="AS376" s="65"/>
      <c r="AT376" s="65"/>
      <c r="AU376" s="65"/>
      <c r="AV376" s="65"/>
      <c r="AW376" s="65"/>
      <c r="AX376" s="65"/>
      <c r="AY376" s="65"/>
    </row>
    <row r="377" spans="2:51" x14ac:dyDescent="0.2">
      <c r="B377" s="90" t="s">
        <v>107</v>
      </c>
      <c r="C377" s="24">
        <f>'E1990'!$AA$11+'E1990'!$AA$14+'E1990'!$AA$15+'E1990'!$AA$16+'E1990'!$AA$17+'E1990'!$AA$18+'E1990'!$AA$19</f>
        <v>2677.0099999999993</v>
      </c>
      <c r="D377" s="24"/>
      <c r="E377" s="24">
        <f>'E2007'!$AA$11+'E2007'!$AA$14+'E2007'!$AA$15+'E2007'!$AA$16+'E2007'!$AA$17+'E2007'!$AA$18+'E2007'!$AA$19</f>
        <v>1922.6207662292118</v>
      </c>
      <c r="F377" s="24">
        <f>'E2009'!$AA$11+'E2009'!$AA$14+'E2009'!$AA$15+'E2009'!$AA$16+'E2009'!$AA$17+'E2009'!$AA$18+'E2009'!$AA$19</f>
        <v>2105.9739539993639</v>
      </c>
      <c r="G377" s="24">
        <f>'E2011'!$AA$11+'E2011'!$AA$14+'E2011'!$AA$15+'E2011'!$AA$16+'E2011'!$AA$17+'E2011'!$AA$18+'E2011'!$AA$19</f>
        <v>1760.7666666666667</v>
      </c>
      <c r="H377" s="24">
        <f>'E2013'!$AA$11+'E2013'!$AA$14+'E2013'!$AA$15+'E2013'!$AA$16+'E2013'!$AA$17+'E2013'!$AA$18+'E2013'!$AA$19</f>
        <v>1903.9666666666667</v>
      </c>
      <c r="I377" s="24">
        <f>'E2015'!$AA$11+'E2015'!$AA$14+'E2015'!$AA$15+'E2015'!$AA$16+'E2015'!$AA$17+'E2015'!$AA$18+'E2015'!$AA$19</f>
        <v>1705.6</v>
      </c>
      <c r="J377" s="24">
        <f>'E2017'!$AA$11+'E2017'!$AA$14+'E2017'!$AA$15+'E2017'!$AA$16+'E2017'!$AA$17+'E2017'!$AA$18+'E2017'!$AA$19</f>
        <v>1408.9</v>
      </c>
      <c r="K377" s="24">
        <f>'E2018'!$AA$11+'E2018'!$AA$14+'E2018'!$AA$15+'E2018'!$AA$16+'E2018'!$AA$17+'E2018'!$AA$18+'E2018'!$AA$19</f>
        <v>1361.9</v>
      </c>
      <c r="L377" s="24">
        <f>'E2020'!$AA$11+'E2020'!$AA$14+'E2020'!$AA$15+'E2020'!$AA$16+'E2020'!$AA$17+'E2020'!$AA$18+'E2020'!$AA$19</f>
        <v>1296.21</v>
      </c>
      <c r="M377" s="24">
        <f>SUM('E1990'!$O$11:$Y$19)+('E1990'!$I$13+'E1990'!$I$15)/('E1990'!$I$13+'E1990'!$I$15+'E1990'!$I$21+SUM('E1990'!$I$29:$I$60))*SUM('E1990'!$O$27:$Y$27)</f>
        <v>496.72</v>
      </c>
      <c r="N377" s="24"/>
      <c r="O377" s="24">
        <f>SUM('E2007'!$O$11:$Y$19)+('E2007'!$I$13+'E2007'!$I$15)/('E2007'!$I$13+'E2007'!$I$15+'E2007'!$I$21+SUM('E2007'!$I$29:$I$60))*SUM('E2007'!$O$27:$Y$27)</f>
        <v>1123.6285037092118</v>
      </c>
      <c r="P377" s="24">
        <f>SUM('E2009'!$O$11:$Y$19)+('E2009'!$I$13+'E2009'!$I$15)/('E2009'!$I$13+'E2009'!$I$15+'E2009'!$I$21+SUM('E2009'!$I$29:$I$60))*SUM('E2009'!$O$27:$Y$27)</f>
        <v>1311.9739539993641</v>
      </c>
      <c r="Q377" s="24">
        <f>SUM('E2011'!$O$11:$Y$19)+('E2011'!$I$13+'E2011'!$I$15)/('E2011'!$I$13+'E2011'!$I$15+'E2011'!$I$21+SUM('E2011'!$I$29:$I$60))*SUM('E2011'!$O$27:$Y$27)</f>
        <v>1134.7666666666667</v>
      </c>
      <c r="R377" s="24">
        <f>SUM('E2013'!$O$11:$Y$19)+('E2013'!$I$13+'E2013'!$I$15)/('E2013'!$I$13+'E2013'!$I$15+'E2013'!$I$21+SUM('E2013'!$I$29:$I$60))*SUM('E2013'!$O$27:$Y$27)</f>
        <v>1290.9666666666667</v>
      </c>
      <c r="S377" s="24">
        <f>SUM('E2015'!$O$11:$Y$19)+('E2015'!$I$13+'E2015'!$I$15)/('E2015'!$I$13+'E2015'!$I$15+'E2015'!$I$21+SUM('E2015'!$I$29:$I$60))*SUM('E2015'!$O$27:$Y$27)</f>
        <v>1205.496867710443</v>
      </c>
      <c r="T377" s="24">
        <f>SUM('E2017'!$O$11:$Y$19)+('E2017'!$I$13+'E2017'!$I$15)/('E2017'!$I$13+'E2017'!$I$15+'E2017'!$I$21+SUM('E2017'!$I$29:$I$60))*SUM('E2017'!$O$27:$Y$27)</f>
        <v>1034.5299903969271</v>
      </c>
      <c r="U377" s="24">
        <f>SUM('E2018'!$O$11:$Y$19)+('E2018'!$I$13+'E2018'!$I$15)/('E2018'!$I$13+'E2018'!$I$15+'E2018'!$I$21+SUM('E2018'!$I$29:$I$60))*SUM('E2018'!$O$27:$Y$27)</f>
        <v>996.46757499797855</v>
      </c>
      <c r="V377" s="24">
        <f>SUM('E2020'!$O$11:$Y$19)+('E2020'!$I$13+'E2020'!$I$15)/('E2020'!$I$13+'E2020'!$I$15+'E2020'!$I$21+SUM('E2020'!$I$29:$I$60))*SUM('E2020'!$O$27:$Y$27)</f>
        <v>1198.810672105074</v>
      </c>
      <c r="W377" s="35">
        <f t="shared" ref="W377:W382" si="36">C377-M377</f>
        <v>2180.2899999999991</v>
      </c>
      <c r="X377" s="35"/>
      <c r="Y377" s="35">
        <f t="shared" ref="Y377:AF382" si="37">E377-O377</f>
        <v>798.99226251999994</v>
      </c>
      <c r="Z377" s="35">
        <f t="shared" si="37"/>
        <v>793.99999999999977</v>
      </c>
      <c r="AA377" s="35">
        <f t="shared" si="37"/>
        <v>626</v>
      </c>
      <c r="AB377" s="35">
        <f t="shared" si="37"/>
        <v>613</v>
      </c>
      <c r="AC377" s="35">
        <f t="shared" si="37"/>
        <v>500.10313228955692</v>
      </c>
      <c r="AD377" s="35">
        <f t="shared" si="37"/>
        <v>374.37000960307296</v>
      </c>
      <c r="AE377" s="35">
        <f t="shared" si="37"/>
        <v>365.43242500202155</v>
      </c>
      <c r="AF377" s="35">
        <f t="shared" si="37"/>
        <v>97.399327894926046</v>
      </c>
      <c r="AG377" s="65"/>
      <c r="AH377" s="65"/>
      <c r="AI377" s="65"/>
      <c r="AJ377" s="65"/>
      <c r="AK377" s="65"/>
      <c r="AL377" s="65"/>
      <c r="AM377" s="65"/>
      <c r="AN377" s="65"/>
      <c r="AO377" s="65"/>
      <c r="AP377" s="65"/>
      <c r="AQ377" s="65"/>
      <c r="AR377" s="65"/>
      <c r="AS377" s="65"/>
      <c r="AT377" s="65"/>
      <c r="AU377" s="65"/>
      <c r="AV377" s="65"/>
      <c r="AW377" s="65"/>
      <c r="AX377" s="65"/>
      <c r="AY377" s="65"/>
    </row>
    <row r="378" spans="2:51" x14ac:dyDescent="0.2">
      <c r="B378" s="90" t="s">
        <v>108</v>
      </c>
      <c r="C378" s="24">
        <f>SUM('E1990'!$AA$28:$AA$51)</f>
        <v>660.19999999999993</v>
      </c>
      <c r="D378" s="24"/>
      <c r="E378" s="24">
        <f>SUM('E2007'!$AA$28:$AA$51)</f>
        <v>1183.3700000000001</v>
      </c>
      <c r="F378" s="24">
        <f>SUM('E2009'!$AA$28:$AA$51)</f>
        <v>1252.31</v>
      </c>
      <c r="G378" s="24">
        <f>SUM('E2011'!$AA$28:$AA$51)</f>
        <v>1273.5</v>
      </c>
      <c r="H378" s="24">
        <f>SUM('E2013'!$AA$28:$AA$51)</f>
        <v>1212.4000000000001</v>
      </c>
      <c r="I378" s="24">
        <f>SUM('E2015'!$AA$28:$AA$51)</f>
        <v>1065.9000000000001</v>
      </c>
      <c r="J378" s="24">
        <f>SUM('E2017'!$AA$28:$AA$51)</f>
        <v>1127.9000000000001</v>
      </c>
      <c r="K378" s="24">
        <f>SUM('E2018'!$AA$28:$AA$51)</f>
        <v>1120.1999999999998</v>
      </c>
      <c r="L378" s="24">
        <f>SUM('E2020'!$AA$28:$AA$51)</f>
        <v>1199.42</v>
      </c>
      <c r="M378" s="24">
        <f>SUM('E1990'!$O$28:$Y$51)+SUM('E1990'!$I$28:$I$60)/('E1990'!$I$13+'E1990'!$I$15+'E1990'!$I$21+SUM('E1990'!$I$28:$I$60))*SUM('E1990'!$O$27:$Y$27)</f>
        <v>177.99</v>
      </c>
      <c r="N378" s="24"/>
      <c r="O378" s="24">
        <f>SUM('E2007'!$O$28:$Y$51)+SUM('E2007'!$I$28:$I$60)/('E2007'!$I$13+'E2007'!$I$15+'E2007'!$I$21+SUM('E2007'!$I$28:$I$60))*SUM('E2007'!$O$27:$Y$27)</f>
        <v>530.27</v>
      </c>
      <c r="P378" s="24">
        <f>SUM('E2009'!$O$28:$Y$51)+SUM('E2009'!$I$28:$I$60)/('E2009'!$I$13+'E2009'!$I$15+'E2009'!$I$21+SUM('E2009'!$I$28:$I$60))*SUM('E2009'!$O$27:$Y$27)</f>
        <v>933.94999999999993</v>
      </c>
      <c r="Q378" s="24">
        <f>SUM('E2011'!$O$28:$Y$51)+SUM('E2011'!$I$28:$I$60)/('E2011'!$I$13+'E2011'!$I$15+'E2011'!$I$21+SUM('E2011'!$I$28:$I$60))*SUM('E2011'!$O$27:$Y$27)</f>
        <v>846.8</v>
      </c>
      <c r="R378" s="24">
        <f>SUM('E2013'!$O$28:$Y$51)+SUM('E2013'!$I$28:$I$60)/('E2013'!$I$13+'E2013'!$I$15+'E2013'!$I$21+SUM('E2013'!$I$28:$I$60))*SUM('E2013'!$O$27:$Y$27)</f>
        <v>953.1</v>
      </c>
      <c r="S378" s="24">
        <f>SUM('E2015'!$O$28:$Y$51)+SUM('E2015'!$I$28:$I$60)/('E2015'!$I$13+'E2015'!$I$15+'E2015'!$I$21+SUM('E2015'!$I$28:$I$60))*SUM('E2015'!$O$27:$Y$27)</f>
        <v>917.04650533247582</v>
      </c>
      <c r="T378" s="24">
        <f>SUM('E2017'!$O$28:$Y$51)+SUM('E2017'!$I$28:$I$60)/('E2017'!$I$13+'E2017'!$I$15+'E2017'!$I$21+SUM('E2017'!$I$28:$I$60))*SUM('E2017'!$O$27:$Y$27)</f>
        <v>984.46669174135718</v>
      </c>
      <c r="U378" s="24">
        <f>SUM('E2018'!$O$28:$Y$51)+SUM('E2018'!$I$28:$I$60)/('E2018'!$I$13+'E2018'!$I$15+'E2018'!$I$21+SUM('E2018'!$I$28:$I$60))*SUM('E2018'!$O$27:$Y$27)</f>
        <v>968.04647044554042</v>
      </c>
      <c r="V378" s="24">
        <f>SUM('E2020'!$O$28:$Y$51)+SUM('E2020'!$I$28:$I$60)/('E2020'!$I$13+'E2020'!$I$15+'E2020'!$I$21+SUM('E2020'!$I$28:$I$60))*SUM('E2020'!$O$27:$Y$27)</f>
        <v>1241.1488518510375</v>
      </c>
      <c r="W378" s="35">
        <f t="shared" si="36"/>
        <v>482.20999999999992</v>
      </c>
      <c r="X378" s="35"/>
      <c r="Y378" s="35">
        <f t="shared" si="37"/>
        <v>653.10000000000014</v>
      </c>
      <c r="Z378" s="35">
        <f t="shared" si="37"/>
        <v>318.36</v>
      </c>
      <c r="AA378" s="35">
        <f t="shared" si="37"/>
        <v>426.70000000000005</v>
      </c>
      <c r="AB378" s="35">
        <f t="shared" si="37"/>
        <v>259.30000000000007</v>
      </c>
      <c r="AC378" s="35">
        <f t="shared" si="37"/>
        <v>148.85349466752427</v>
      </c>
      <c r="AD378" s="35">
        <f t="shared" si="37"/>
        <v>143.43330825864291</v>
      </c>
      <c r="AE378" s="35">
        <f t="shared" si="37"/>
        <v>152.1535295544594</v>
      </c>
      <c r="AF378" s="35">
        <f t="shared" si="37"/>
        <v>-41.728851851037462</v>
      </c>
      <c r="AG378" s="65"/>
      <c r="AH378" s="65"/>
      <c r="AI378" s="65"/>
      <c r="AJ378" s="65"/>
      <c r="AK378" s="65"/>
      <c r="AL378" s="65"/>
      <c r="AM378" s="65"/>
      <c r="AN378" s="65"/>
      <c r="AO378" s="65"/>
      <c r="AP378" s="65"/>
      <c r="AQ378" s="65"/>
      <c r="AR378" s="65"/>
      <c r="AS378" s="65"/>
      <c r="AT378" s="65"/>
      <c r="AU378" s="65"/>
      <c r="AV378" s="65"/>
      <c r="AW378" s="65"/>
      <c r="AX378" s="65"/>
      <c r="AY378" s="65"/>
    </row>
    <row r="379" spans="2:51" x14ac:dyDescent="0.2">
      <c r="B379" s="90" t="s">
        <v>109</v>
      </c>
      <c r="C379" s="24">
        <f>'E1990'!$AA$13+'E1990'!$AA$20+'E1990'!$AA$21+'E1990'!$AA$22+SUM('E1990'!$AA$52:$AA$60)</f>
        <v>1080.6199999999999</v>
      </c>
      <c r="D379" s="24"/>
      <c r="E379" s="24">
        <f>'E2007'!$AA$13+'E2007'!$AA$20+'E2007'!$AA$21+'E2007'!$AA$22+SUM('E2007'!$AA$52:$AA$60)</f>
        <v>821.48585708000007</v>
      </c>
      <c r="F379" s="24">
        <f>'E2009'!$AA$13+'E2009'!$AA$20+'E2009'!$AA$21+'E2009'!$AA$22+SUM('E2009'!$AA$52:$AA$60)</f>
        <v>931.03</v>
      </c>
      <c r="G379" s="24">
        <f>'E2011'!$AA$13+'E2011'!$AA$20+'E2011'!$AA$21+'E2011'!$AA$22+SUM('E2011'!$AA$52:$AA$60)</f>
        <v>1012.5</v>
      </c>
      <c r="H379" s="24">
        <f>'E2013'!$AA$13+'E2013'!$AA$20+'E2013'!$AA$21+'E2013'!$AA$22+SUM('E2013'!$AA$52:$AA$60)</f>
        <v>807.1</v>
      </c>
      <c r="I379" s="24">
        <f>'E2015'!$AA$13+'E2015'!$AA$20+'E2015'!$AA$21+'E2015'!$AA$22+SUM('E2015'!$AA$52:$AA$60)</f>
        <v>821.44</v>
      </c>
      <c r="J379" s="24">
        <f>'E2017'!$AA$13+'E2017'!$AA$20+'E2017'!$AA$21+'E2017'!$AA$22+SUM('E2017'!$AA$52:$AA$60)</f>
        <v>896.76</v>
      </c>
      <c r="K379" s="24">
        <f>'E2018'!$AA$13+'E2018'!$AA$20+'E2018'!$AA$21+'E2018'!$AA$22+SUM('E2018'!$AA$52:$AA$60)</f>
        <v>890.80000000000018</v>
      </c>
      <c r="L379" s="24">
        <f>'E2020'!$AA$13+'E2020'!$AA$20+'E2020'!$AA$21+'E2020'!$AA$22+SUM('E2020'!$AA$52:$AA$60)</f>
        <v>949.76</v>
      </c>
      <c r="M379" s="24">
        <f>SUM('E1990'!$O$22:$Y$22)+SUM('E1990'!$P$52:$Y$60)+('E1990'!$I$21)/('E1990'!$I$13+'E1990'!$I$15+'E1990'!$I$21+SUM('E1990'!$I$28:$I$60))*SUM('E1990'!$O$27:$Y$27)</f>
        <v>40.24</v>
      </c>
      <c r="N379" s="24"/>
      <c r="O379" s="24">
        <f>SUM('E2007'!$O$22:$Y$22)+SUM('E2007'!$P$52:$Y$60)+('E2007'!$I$21)/('E2007'!$I$13+'E2007'!$I$15+'E2007'!$I$21+SUM('E2007'!$I$28:$I$60))*SUM('E2007'!$O$27:$Y$27)</f>
        <v>22.1</v>
      </c>
      <c r="P379" s="24">
        <f>SUM('E2009'!$O$22:$Y$22)+SUM('E2009'!$P$52:$Y$60)+('E2009'!$I$21)/('E2009'!$I$13+'E2009'!$I$15+'E2009'!$I$21+SUM('E2009'!$I$28:$I$60))*SUM('E2009'!$O$27:$Y$27)</f>
        <v>51.230000000000004</v>
      </c>
      <c r="Q379" s="24">
        <f>SUM('E2011'!$O$22:$Y$22)+SUM('E2011'!$P$52:$Y$60)+('E2011'!$I$21)/('E2011'!$I$13+'E2011'!$I$15+'E2011'!$I$21+SUM('E2011'!$I$28:$I$60))*SUM('E2011'!$O$27:$Y$27)</f>
        <v>111.2</v>
      </c>
      <c r="R379" s="24">
        <f>SUM('E2013'!$O$22:$Y$22)+SUM('E2013'!$P$52:$Y$60)+('E2013'!$I$21)/('E2013'!$I$13+'E2013'!$I$15+'E2013'!$I$21+SUM('E2013'!$I$28:$I$60))*SUM('E2013'!$O$27:$Y$27)</f>
        <v>58.1</v>
      </c>
      <c r="S379" s="24">
        <f>SUM('E2015'!$O$22:$Y$22)+SUM('E2015'!$P$52:$Y$60)+('E2015'!$I$21)/('E2015'!$I$13+'E2015'!$I$15+'E2015'!$I$21+SUM('E2015'!$I$28:$I$60))*SUM('E2015'!$O$27:$Y$27)</f>
        <v>143.16662695708101</v>
      </c>
      <c r="T379" s="24">
        <f>SUM('E2017'!$O$22:$Y$22)+SUM('E2017'!$P$52:$Y$60)+('E2017'!$I$21)/('E2017'!$I$13+'E2017'!$I$15+'E2017'!$I$21+SUM('E2017'!$I$28:$I$60))*SUM('E2017'!$O$27:$Y$27)</f>
        <v>310.01331786171573</v>
      </c>
      <c r="U379" s="24">
        <f>SUM('E2018'!$O$22:$Y$22)+SUM('E2018'!$P$52:$Y$60)+('E2018'!$I$21)/('E2018'!$I$13+'E2018'!$I$15+'E2018'!$I$21+SUM('E2018'!$I$28:$I$60))*SUM('E2018'!$O$27:$Y$27)</f>
        <v>323.18595455648097</v>
      </c>
      <c r="V379" s="24">
        <f>SUM('E2020'!$O$22:$Y$22)+SUM('E2020'!$P$52:$Y$60)+('E2020'!$I$21)/('E2020'!$I$13+'E2020'!$I$15+'E2020'!$I$21+SUM('E2020'!$I$28:$I$60))*SUM('E2020'!$O$27:$Y$27)</f>
        <v>1020.6004760438885</v>
      </c>
      <c r="W379" s="35">
        <f t="shared" si="36"/>
        <v>1040.3799999999999</v>
      </c>
      <c r="X379" s="35"/>
      <c r="Y379" s="35">
        <f t="shared" si="37"/>
        <v>799.38585708000005</v>
      </c>
      <c r="Z379" s="35">
        <f t="shared" si="37"/>
        <v>879.8</v>
      </c>
      <c r="AA379" s="35">
        <f t="shared" si="37"/>
        <v>901.3</v>
      </c>
      <c r="AB379" s="35">
        <f t="shared" si="37"/>
        <v>749</v>
      </c>
      <c r="AC379" s="35">
        <f t="shared" si="37"/>
        <v>678.27337304291905</v>
      </c>
      <c r="AD379" s="35">
        <f t="shared" si="37"/>
        <v>586.74668213828431</v>
      </c>
      <c r="AE379" s="35">
        <f t="shared" si="37"/>
        <v>567.61404544351922</v>
      </c>
      <c r="AF379" s="35">
        <f t="shared" si="37"/>
        <v>-70.840476043888543</v>
      </c>
      <c r="AG379" s="65"/>
      <c r="AH379" s="65"/>
      <c r="AI379" s="65"/>
      <c r="AJ379" s="65"/>
      <c r="AK379" s="65"/>
      <c r="AL379" s="65"/>
      <c r="AM379" s="65"/>
      <c r="AN379" s="65"/>
      <c r="AO379" s="65"/>
      <c r="AP379" s="65"/>
      <c r="AQ379" s="65"/>
      <c r="AR379" s="65"/>
      <c r="AS379" s="65"/>
      <c r="AT379" s="65"/>
      <c r="AU379" s="65"/>
      <c r="AV379" s="65"/>
      <c r="AW379" s="65"/>
      <c r="AX379" s="65"/>
      <c r="AY379" s="65"/>
    </row>
    <row r="380" spans="2:51" x14ac:dyDescent="0.2">
      <c r="B380" s="90" t="s">
        <v>110</v>
      </c>
      <c r="C380" s="24">
        <f>SUM('E1990'!$AA$61:$AA$80)</f>
        <v>1813.2534019744633</v>
      </c>
      <c r="D380" s="24"/>
      <c r="E380" s="24">
        <f>SUM('E2007'!$AA$61:$AA$80)</f>
        <v>2579.435516197756</v>
      </c>
      <c r="F380" s="24">
        <f>SUM('E2009'!$AA$61:$AA$80)</f>
        <v>2491.7242315462095</v>
      </c>
      <c r="G380" s="24">
        <f>SUM('E2011'!$AA$61:$AA$80)</f>
        <v>2551.7143264721185</v>
      </c>
      <c r="H380" s="24">
        <f>SUM('E2013'!$AA$61:$AA$80)</f>
        <v>2286.6993385544829</v>
      </c>
      <c r="I380" s="24">
        <f>SUM('E2015'!$AA$61:$AA$80)</f>
        <v>2248.8072505457089</v>
      </c>
      <c r="J380" s="24">
        <f>SUM('E2017'!$AA$61:$AA$80)</f>
        <v>2257.8204131149532</v>
      </c>
      <c r="K380" s="24">
        <f>SUM('E2018'!$AA$61:$AA$80)</f>
        <v>2158.4293507547354</v>
      </c>
      <c r="L380" s="24">
        <f>SUM('E2020'!$AA$61:$AA$80)</f>
        <v>1688.9675944740432</v>
      </c>
      <c r="M380" s="24">
        <f>SUM('E1990'!$S$61:$S$80)</f>
        <v>0</v>
      </c>
      <c r="N380" s="24"/>
      <c r="O380" s="24">
        <f>SUM('E2007'!$S$61:$S$80)</f>
        <v>2.0887770867710032</v>
      </c>
      <c r="P380" s="24">
        <f>SUM('E2009'!$S$61:$S$80)</f>
        <v>4.3301774891921285</v>
      </c>
      <c r="Q380" s="24">
        <f>SUM('E2011'!$S$61:$S$80)</f>
        <v>66.856085139267236</v>
      </c>
      <c r="R380" s="24">
        <f>SUM('E2013'!$S$61:$S$80)</f>
        <v>97.064498372174171</v>
      </c>
      <c r="S380" s="24">
        <f>SUM('E2015'!$S$61:$S$80)</f>
        <v>96.010878261857215</v>
      </c>
      <c r="T380" s="24">
        <f>SUM('E2017'!$S$61:$S$80)</f>
        <v>93.887809349568855</v>
      </c>
      <c r="U380" s="24">
        <f>SUM('E2018'!$S$61:$S$80)</f>
        <v>84.943566335747391</v>
      </c>
      <c r="V380" s="24">
        <f>SUM('E2020'!$S$61:$S$80)</f>
        <v>92.233775327562114</v>
      </c>
      <c r="W380" s="35">
        <f t="shared" si="36"/>
        <v>1813.2534019744633</v>
      </c>
      <c r="X380" s="35"/>
      <c r="Y380" s="35">
        <f t="shared" si="37"/>
        <v>2577.3467391109848</v>
      </c>
      <c r="Z380" s="35">
        <f t="shared" si="37"/>
        <v>2487.3940540570175</v>
      </c>
      <c r="AA380" s="35">
        <f t="shared" si="37"/>
        <v>2484.8582413328513</v>
      </c>
      <c r="AB380" s="35">
        <f t="shared" si="37"/>
        <v>2189.6348401823088</v>
      </c>
      <c r="AC380" s="35">
        <f t="shared" si="37"/>
        <v>2152.7963722838517</v>
      </c>
      <c r="AD380" s="35">
        <f t="shared" si="37"/>
        <v>2163.9326037653846</v>
      </c>
      <c r="AE380" s="35">
        <f t="shared" si="37"/>
        <v>2073.4857844189883</v>
      </c>
      <c r="AF380" s="35">
        <f t="shared" si="37"/>
        <v>1596.733819146481</v>
      </c>
      <c r="AG380" s="65"/>
      <c r="AH380" s="65"/>
      <c r="AI380" s="65"/>
      <c r="AJ380" s="65"/>
      <c r="AK380" s="65"/>
      <c r="AL380" s="65"/>
      <c r="AM380" s="65"/>
      <c r="AN380" s="65"/>
      <c r="AO380" s="65"/>
      <c r="AP380" s="65"/>
      <c r="AQ380" s="65"/>
      <c r="AR380" s="65"/>
      <c r="AS380" s="65"/>
      <c r="AT380" s="65"/>
      <c r="AU380" s="65"/>
      <c r="AV380" s="65"/>
      <c r="AW380" s="65"/>
      <c r="AX380" s="65"/>
      <c r="AY380" s="65"/>
    </row>
    <row r="381" spans="2:51" x14ac:dyDescent="0.2">
      <c r="B381" s="90" t="s">
        <v>164</v>
      </c>
      <c r="C381" s="24">
        <f>SUM('E1990'!$AA$23:$AA$26)</f>
        <v>92.06</v>
      </c>
      <c r="D381" s="24"/>
      <c r="E381" s="24">
        <f>SUM('E2007'!$AA$23:$AA$26)</f>
        <v>707.68</v>
      </c>
      <c r="F381" s="24">
        <f>SUM('E2009'!$AA$23:$AA$26)</f>
        <v>576.41</v>
      </c>
      <c r="G381" s="24">
        <f>SUM('E2011'!$AA$23:$AA$26)</f>
        <v>658.38299999999992</v>
      </c>
      <c r="H381" s="24">
        <f>SUM('E2013'!$AA$23:$AA$26)</f>
        <v>769.7</v>
      </c>
      <c r="I381" s="24">
        <f>SUM('E2015'!$AA$23:$AA$26)</f>
        <v>1178.7</v>
      </c>
      <c r="J381" s="24">
        <f>SUM('E2017'!$AA$23:$AA$26)</f>
        <v>1067.8999999999999</v>
      </c>
      <c r="K381" s="24">
        <f>SUM('E2018'!$AA$23:$AA$26)</f>
        <v>997</v>
      </c>
      <c r="L381" s="24">
        <f>SUM('E2020'!$AA$23:$AA$26)</f>
        <v>980.95</v>
      </c>
      <c r="M381" s="24">
        <f>SUM('E1990'!$AA$23:$AA$26)</f>
        <v>92.06</v>
      </c>
      <c r="N381" s="24"/>
      <c r="O381" s="24">
        <f>SUM('E2007'!$AA$23:$AA$26)</f>
        <v>707.68</v>
      </c>
      <c r="P381" s="24">
        <f>SUM('E2009'!$AA$23:$AA$26)</f>
        <v>576.41</v>
      </c>
      <c r="Q381" s="24">
        <f>SUM('E2011'!$AA$23:$AA$26)</f>
        <v>658.38299999999992</v>
      </c>
      <c r="R381" s="24">
        <f>SUM('E2013'!$AA$23:$AA$26)</f>
        <v>769.7</v>
      </c>
      <c r="S381" s="24">
        <f>SUM('E2015'!$AA$23:$AA$26)</f>
        <v>1178.7</v>
      </c>
      <c r="T381" s="24">
        <f>SUM('E2017'!$AA$23:$AA$26)</f>
        <v>1067.8999999999999</v>
      </c>
      <c r="U381" s="24">
        <f>SUM('E2018'!$AA$23:$AA$26)</f>
        <v>997</v>
      </c>
      <c r="V381" s="24">
        <f>SUM('E2020'!$AA$23:$AA$26)</f>
        <v>980.95</v>
      </c>
      <c r="W381" s="35">
        <f t="shared" si="36"/>
        <v>0</v>
      </c>
      <c r="X381" s="35"/>
      <c r="Y381" s="35">
        <f t="shared" si="37"/>
        <v>0</v>
      </c>
      <c r="Z381" s="35">
        <f t="shared" si="37"/>
        <v>0</v>
      </c>
      <c r="AA381" s="35">
        <f t="shared" si="37"/>
        <v>0</v>
      </c>
      <c r="AB381" s="35">
        <f t="shared" si="37"/>
        <v>0</v>
      </c>
      <c r="AC381" s="35">
        <f t="shared" si="37"/>
        <v>0</v>
      </c>
      <c r="AD381" s="35">
        <f t="shared" si="37"/>
        <v>0</v>
      </c>
      <c r="AE381" s="35">
        <f t="shared" si="37"/>
        <v>0</v>
      </c>
      <c r="AF381" s="35">
        <f t="shared" si="37"/>
        <v>0</v>
      </c>
      <c r="AG381" s="65"/>
      <c r="AH381" s="65"/>
      <c r="AI381" s="65"/>
      <c r="AJ381" s="65"/>
      <c r="AK381" s="65"/>
      <c r="AL381" s="65"/>
      <c r="AM381" s="65"/>
      <c r="AN381" s="65"/>
      <c r="AO381" s="65"/>
      <c r="AP381" s="65"/>
      <c r="AQ381" s="65"/>
      <c r="AR381" s="65"/>
      <c r="AS381" s="65"/>
      <c r="AT381" s="65"/>
      <c r="AU381" s="65"/>
      <c r="AV381" s="65"/>
      <c r="AW381" s="65"/>
      <c r="AX381" s="65"/>
      <c r="AY381" s="65"/>
    </row>
    <row r="382" spans="2:51" x14ac:dyDescent="0.2">
      <c r="B382" s="90" t="s">
        <v>111</v>
      </c>
      <c r="C382" s="24">
        <f>'E1990'!$AA$12</f>
        <v>708.91875270154026</v>
      </c>
      <c r="D382" s="24"/>
      <c r="E382" s="24">
        <f>'E2007'!$AA$12</f>
        <v>35.311778887828353</v>
      </c>
      <c r="F382" s="24">
        <f>'E2009'!$AA$12</f>
        <v>434.09936210217552</v>
      </c>
      <c r="G382" s="24">
        <f>'E2011'!$AA$12</f>
        <v>279.74294406787817</v>
      </c>
      <c r="H382" s="24">
        <f>'E2013'!$AA$12</f>
        <v>151.2096149298329</v>
      </c>
      <c r="I382" s="24">
        <f>'E2015'!$AA$12</f>
        <v>-270.90177626901021</v>
      </c>
      <c r="J382" s="24">
        <f>'E2017'!$AA$12</f>
        <v>-188.86813638540309</v>
      </c>
      <c r="K382" s="24">
        <f>'E2018'!$AA$12</f>
        <v>-131.98567831968447</v>
      </c>
      <c r="L382" s="24">
        <f>'E2020'!$AA$12</f>
        <v>-23.359213482718847</v>
      </c>
      <c r="M382" s="35">
        <f>C382*'E1990'!$A$87%</f>
        <v>0</v>
      </c>
      <c r="N382" s="35"/>
      <c r="O382" s="35">
        <f>E382*'E2007'!$A$87%</f>
        <v>3.8842956776611191</v>
      </c>
      <c r="P382" s="35">
        <f>F382*'E2009'!$A$87%</f>
        <v>60.773910694304575</v>
      </c>
      <c r="Q382" s="35">
        <f>G382*'E2011'!$A$87%</f>
        <v>81.125453779684662</v>
      </c>
      <c r="R382" s="35">
        <f>H382*'E2013'!$A$87%</f>
        <v>49.899172926844855</v>
      </c>
      <c r="S382" s="35">
        <f>I382*'E2015'!$A$87%</f>
        <v>-111.06972827029418</v>
      </c>
      <c r="T382" s="35">
        <f>J382*'E2017'!$A$87%</f>
        <v>-94.434068192701545</v>
      </c>
      <c r="U382" s="35">
        <f>K382*'E2018'!$A$87%</f>
        <v>-58.073698460661163</v>
      </c>
      <c r="V382" s="35">
        <f>L382*'E2020'!$A$87%</f>
        <v>-13.751568977276586</v>
      </c>
      <c r="W382" s="35">
        <f t="shared" si="36"/>
        <v>708.91875270154026</v>
      </c>
      <c r="X382" s="35"/>
      <c r="Y382" s="35">
        <f t="shared" si="37"/>
        <v>31.427483210167235</v>
      </c>
      <c r="Z382" s="35">
        <f t="shared" si="37"/>
        <v>373.32545140787096</v>
      </c>
      <c r="AA382" s="35">
        <f t="shared" si="37"/>
        <v>198.61749028819349</v>
      </c>
      <c r="AB382" s="35">
        <f t="shared" si="37"/>
        <v>101.31044200298804</v>
      </c>
      <c r="AC382" s="35">
        <f t="shared" si="37"/>
        <v>-159.83204799871604</v>
      </c>
      <c r="AD382" s="35">
        <f t="shared" si="37"/>
        <v>-94.434068192701545</v>
      </c>
      <c r="AE382" s="35">
        <f t="shared" si="37"/>
        <v>-73.911979859023305</v>
      </c>
      <c r="AF382" s="35">
        <f t="shared" si="37"/>
        <v>-9.607644505442261</v>
      </c>
      <c r="AG382" s="65"/>
      <c r="AH382" s="65"/>
      <c r="AI382" s="65"/>
      <c r="AJ382" s="65"/>
      <c r="AK382" s="65"/>
      <c r="AL382" s="65"/>
      <c r="AM382" s="65"/>
      <c r="AN382" s="65"/>
      <c r="AO382" s="65"/>
      <c r="AP382" s="65"/>
      <c r="AQ382" s="65"/>
      <c r="AR382" s="65"/>
      <c r="AS382" s="65"/>
      <c r="AT382" s="65"/>
      <c r="AU382" s="65"/>
      <c r="AV382" s="65"/>
      <c r="AW382" s="65"/>
      <c r="AX382" s="65"/>
      <c r="AY382" s="65"/>
    </row>
    <row r="383" spans="2:51" x14ac:dyDescent="0.2">
      <c r="B383" s="91" t="s">
        <v>98</v>
      </c>
      <c r="C383" s="92">
        <f t="shared" ref="C383" si="38">SUM(C377:C382)</f>
        <v>7032.062154676003</v>
      </c>
      <c r="D383" s="92"/>
      <c r="E383" s="92">
        <f t="shared" ref="E383:I383" si="39">SUM(E377:E382)</f>
        <v>7249.9039183947962</v>
      </c>
      <c r="F383" s="92">
        <f t="shared" si="39"/>
        <v>7791.5475476477477</v>
      </c>
      <c r="G383" s="92">
        <f t="shared" si="39"/>
        <v>7536.6069372066622</v>
      </c>
      <c r="H383" s="92">
        <f t="shared" si="39"/>
        <v>7131.075620150983</v>
      </c>
      <c r="I383" s="92">
        <f t="shared" si="39"/>
        <v>6749.5454742766988</v>
      </c>
      <c r="J383" s="92">
        <f>SUM(J377:J382)</f>
        <v>6570.4122767295503</v>
      </c>
      <c r="K383" s="92">
        <f t="shared" ref="K383" si="40">SUM(K377:K382)</f>
        <v>6396.3436724350504</v>
      </c>
      <c r="L383" s="92">
        <f>SUM(L377:L382)</f>
        <v>6091.9483809913245</v>
      </c>
      <c r="M383" s="92">
        <f t="shared" ref="M383" si="41">SUM(M377:M382)</f>
        <v>807.01</v>
      </c>
      <c r="N383" s="92"/>
      <c r="O383" s="93">
        <f t="shared" ref="O383" si="42">SUM(O377:O382)</f>
        <v>2389.6515764736437</v>
      </c>
      <c r="P383" s="92">
        <f>SUM(P377:P382)</f>
        <v>2938.6680421828605</v>
      </c>
      <c r="Q383" s="92">
        <f>SUM(Q377:Q382)</f>
        <v>2899.1312055856179</v>
      </c>
      <c r="R383" s="92">
        <f t="shared" ref="R383" si="43">SUM(R377:R382)</f>
        <v>3218.8303379656859</v>
      </c>
      <c r="S383" s="92">
        <f>SUM(S377:S382)</f>
        <v>3429.351149991563</v>
      </c>
      <c r="T383" s="92">
        <f>SUM(T377:T382)</f>
        <v>3396.363741156867</v>
      </c>
      <c r="U383" s="92">
        <f t="shared" ref="U383" si="44">SUM(U377:U382)</f>
        <v>3311.5698678750859</v>
      </c>
      <c r="V383" s="92">
        <f>SUM(V377:V382)</f>
        <v>4519.9922063502854</v>
      </c>
      <c r="W383" s="92">
        <f>SUM(W377:W382)</f>
        <v>6225.0521546760028</v>
      </c>
      <c r="X383" s="92"/>
      <c r="Y383" s="92">
        <f t="shared" ref="Y383:AF383" si="45">SUM(Y377:Y382)</f>
        <v>4860.252341921152</v>
      </c>
      <c r="Z383" s="92">
        <f t="shared" si="45"/>
        <v>4852.8795054648881</v>
      </c>
      <c r="AA383" s="92">
        <f t="shared" si="45"/>
        <v>4637.4757316210453</v>
      </c>
      <c r="AB383" s="92">
        <f t="shared" si="45"/>
        <v>3912.2452821852971</v>
      </c>
      <c r="AC383" s="92">
        <f t="shared" si="45"/>
        <v>3320.1943242851357</v>
      </c>
      <c r="AD383" s="92">
        <f t="shared" si="45"/>
        <v>3174.0485355726832</v>
      </c>
      <c r="AE383" s="92">
        <f t="shared" si="45"/>
        <v>3084.7738045599654</v>
      </c>
      <c r="AF383" s="92">
        <f t="shared" si="45"/>
        <v>1571.9561746410386</v>
      </c>
      <c r="AG383" s="65"/>
      <c r="AH383" s="65"/>
      <c r="AI383" s="65"/>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3"/>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3"/>
      <c r="D385" s="123"/>
      <c r="E385" s="123"/>
      <c r="F385" s="123"/>
      <c r="G385" s="123"/>
      <c r="H385" s="123"/>
      <c r="I385" s="123"/>
      <c r="J385" s="123"/>
      <c r="K385" s="123"/>
      <c r="L385" s="123"/>
      <c r="M385" s="123"/>
      <c r="N385" s="123"/>
      <c r="O385" s="123"/>
      <c r="P385" s="123"/>
      <c r="Q385" s="123"/>
      <c r="R385" s="123"/>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5" t="s">
        <v>112</v>
      </c>
      <c r="H386" s="144"/>
      <c r="I386" s="144"/>
      <c r="J386" s="144"/>
      <c r="K386" s="144"/>
      <c r="L386" s="144"/>
      <c r="M386" s="144"/>
      <c r="N386" s="144"/>
      <c r="O386" s="144"/>
      <c r="P386" s="144"/>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6"/>
      <c r="L388" s="136"/>
      <c r="M388" s="136"/>
      <c r="N388" s="136"/>
      <c r="O388" s="136"/>
      <c r="P388" s="136"/>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5"/>
      <c r="K389" s="137"/>
      <c r="L389" s="137"/>
      <c r="M389" s="137"/>
      <c r="N389" s="137"/>
      <c r="O389" s="137"/>
      <c r="P389" s="137"/>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7"/>
      <c r="K390" s="137"/>
      <c r="L390" s="137"/>
      <c r="M390" s="137"/>
      <c r="N390" s="137"/>
      <c r="O390" s="137"/>
      <c r="P390" s="137"/>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6"/>
      <c r="D412" s="96"/>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6"/>
      <c r="D413" s="96"/>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6"/>
      <c r="D414" s="96"/>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5"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6"/>
      <c r="D441" s="96"/>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6"/>
      <c r="D442" s="96"/>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6"/>
      <c r="D443" s="96"/>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5"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4" t="s">
        <v>80</v>
      </c>
      <c r="G474" s="654" t="s">
        <v>607</v>
      </c>
      <c r="H474" s="654"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7" t="s">
        <v>115</v>
      </c>
      <c r="C475" s="98"/>
      <c r="D475" s="76" t="s">
        <v>90</v>
      </c>
      <c r="E475" s="76" t="s">
        <v>81</v>
      </c>
      <c r="F475" s="654" t="s">
        <v>1</v>
      </c>
      <c r="G475" s="654" t="s">
        <v>90</v>
      </c>
      <c r="H475" s="654"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2" t="s">
        <v>107</v>
      </c>
      <c r="C476" s="99">
        <v>1990</v>
      </c>
      <c r="D476" s="24">
        <f>M377</f>
        <v>496.72</v>
      </c>
      <c r="E476" s="24">
        <f>'Grafer-energi'!W377</f>
        <v>2180.2899999999991</v>
      </c>
      <c r="F476" s="657">
        <f>SUM(D476:E476)</f>
        <v>2677.0099999999993</v>
      </c>
      <c r="G476" s="660">
        <f>D476/$F476</f>
        <v>0.18555029678634005</v>
      </c>
      <c r="H476" s="660">
        <f>E476/$F476</f>
        <v>0.81444970321365984</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3"/>
      <c r="C477" s="99">
        <v>2020</v>
      </c>
      <c r="D477" s="24">
        <f>'Grafer-energi'!V377</f>
        <v>1198.810672105074</v>
      </c>
      <c r="E477" s="24">
        <f>'Grafer-energi'!AF377</f>
        <v>97.399327894926046</v>
      </c>
      <c r="F477" s="657">
        <f t="shared" ref="F477:F487" si="46">SUM(D477:E477)</f>
        <v>1296.21</v>
      </c>
      <c r="G477" s="660">
        <f t="shared" ref="G477:H487" si="47">D477/$F477</f>
        <v>0.9248583733384822</v>
      </c>
      <c r="H477" s="660">
        <f t="shared" si="47"/>
        <v>7.5141626661517844E-2</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2" t="s">
        <v>108</v>
      </c>
      <c r="C478" s="99">
        <f>C476</f>
        <v>1990</v>
      </c>
      <c r="D478" s="24">
        <f>'Grafer-energi'!M378</f>
        <v>177.99</v>
      </c>
      <c r="E478" s="24">
        <f>'Grafer-energi'!W378</f>
        <v>482.20999999999992</v>
      </c>
      <c r="F478" s="657">
        <f t="shared" si="46"/>
        <v>660.19999999999993</v>
      </c>
      <c r="G478" s="660">
        <f t="shared" si="47"/>
        <v>0.26960012117540144</v>
      </c>
      <c r="H478" s="660">
        <f t="shared" si="47"/>
        <v>0.73039987882459856</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3"/>
      <c r="C479" s="99">
        <f>C477</f>
        <v>2020</v>
      </c>
      <c r="D479" s="24">
        <f>'Grafer-energi'!V378</f>
        <v>1241.1488518510375</v>
      </c>
      <c r="E479" s="24">
        <f>'Grafer-energi'!AF378</f>
        <v>-41.728851851037462</v>
      </c>
      <c r="F479" s="657">
        <f t="shared" si="46"/>
        <v>1199.42</v>
      </c>
      <c r="G479" s="660">
        <f t="shared" si="47"/>
        <v>1.0347908587909469</v>
      </c>
      <c r="H479" s="660">
        <f t="shared" si="47"/>
        <v>-3.4790858790946837E-2</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2" t="s">
        <v>109</v>
      </c>
      <c r="C480" s="99">
        <f t="shared" ref="C480:C487" si="48">C478</f>
        <v>1990</v>
      </c>
      <c r="D480" s="24">
        <f>'Grafer-energi'!M379</f>
        <v>40.24</v>
      </c>
      <c r="E480" s="24">
        <f>'Grafer-energi'!W379</f>
        <v>1040.3799999999999</v>
      </c>
      <c r="F480" s="657">
        <f t="shared" si="46"/>
        <v>1080.6199999999999</v>
      </c>
      <c r="G480" s="660">
        <f t="shared" si="47"/>
        <v>3.723788195665452E-2</v>
      </c>
      <c r="H480" s="660">
        <f t="shared" si="47"/>
        <v>0.96276211804334544</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3"/>
      <c r="C481" s="99">
        <f t="shared" si="48"/>
        <v>2020</v>
      </c>
      <c r="D481" s="24">
        <f>'Grafer-energi'!V379</f>
        <v>1020.6004760438885</v>
      </c>
      <c r="E481" s="24">
        <f>'Grafer-energi'!AF379</f>
        <v>-70.840476043888543</v>
      </c>
      <c r="F481" s="657">
        <f t="shared" si="46"/>
        <v>949.76</v>
      </c>
      <c r="G481" s="660">
        <f t="shared" si="47"/>
        <v>1.0745877653763989</v>
      </c>
      <c r="H481" s="660">
        <f t="shared" si="47"/>
        <v>-7.4587765376398815E-2</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2" t="s">
        <v>110</v>
      </c>
      <c r="C482" s="99">
        <f t="shared" si="48"/>
        <v>1990</v>
      </c>
      <c r="D482" s="24">
        <f>'Grafer-energi'!M380</f>
        <v>0</v>
      </c>
      <c r="E482" s="24">
        <f>'Grafer-energi'!W380</f>
        <v>1813.2534019744633</v>
      </c>
      <c r="F482" s="657">
        <f t="shared" si="46"/>
        <v>1813.2534019744633</v>
      </c>
      <c r="G482" s="660">
        <f t="shared" si="47"/>
        <v>0</v>
      </c>
      <c r="H482" s="660">
        <f t="shared" si="47"/>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3"/>
      <c r="C483" s="99">
        <f t="shared" si="48"/>
        <v>2020</v>
      </c>
      <c r="D483" s="24">
        <f>'Grafer-energi'!V380</f>
        <v>92.233775327562114</v>
      </c>
      <c r="E483" s="24">
        <f>'Grafer-energi'!AF380</f>
        <v>1596.733819146481</v>
      </c>
      <c r="F483" s="657">
        <f t="shared" si="46"/>
        <v>1688.9675944740432</v>
      </c>
      <c r="G483" s="660">
        <f t="shared" si="47"/>
        <v>5.4609558898188561E-2</v>
      </c>
      <c r="H483" s="660">
        <f t="shared" si="47"/>
        <v>0.94539044110181136</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2" t="s">
        <v>164</v>
      </c>
      <c r="C484" s="99">
        <f t="shared" si="48"/>
        <v>1990</v>
      </c>
      <c r="D484" s="24">
        <f>'Grafer-energi'!M381</f>
        <v>92.06</v>
      </c>
      <c r="E484" s="24">
        <f>'Grafer-energi'!W381</f>
        <v>0</v>
      </c>
      <c r="F484" s="657">
        <f t="shared" si="46"/>
        <v>92.06</v>
      </c>
      <c r="G484" s="660">
        <f t="shared" si="47"/>
        <v>1</v>
      </c>
      <c r="H484" s="660">
        <f t="shared" si="47"/>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3"/>
      <c r="C485" s="99">
        <f t="shared" si="48"/>
        <v>2020</v>
      </c>
      <c r="D485" s="24">
        <f>'Grafer-energi'!V381</f>
        <v>980.95</v>
      </c>
      <c r="E485" s="24">
        <f>'Grafer-energi'!AF381</f>
        <v>0</v>
      </c>
      <c r="F485" s="657">
        <f t="shared" si="46"/>
        <v>980.95</v>
      </c>
      <c r="G485" s="660">
        <f t="shared" si="47"/>
        <v>1</v>
      </c>
      <c r="H485" s="660">
        <f t="shared" si="47"/>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2" t="s">
        <v>111</v>
      </c>
      <c r="C486" s="99">
        <f t="shared" si="48"/>
        <v>1990</v>
      </c>
      <c r="D486" s="24">
        <f>'Grafer-energi'!M382</f>
        <v>0</v>
      </c>
      <c r="E486" s="24">
        <f>'Grafer-energi'!W382</f>
        <v>708.91875270154026</v>
      </c>
      <c r="F486" s="657">
        <f t="shared" si="46"/>
        <v>708.91875270154026</v>
      </c>
      <c r="G486" s="660">
        <f t="shared" si="47"/>
        <v>0</v>
      </c>
      <c r="H486" s="660">
        <f t="shared" si="47"/>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3"/>
      <c r="C487" s="99">
        <f t="shared" si="48"/>
        <v>2020</v>
      </c>
      <c r="D487" s="24">
        <f>'Grafer-energi'!V382</f>
        <v>-13.751568977276586</v>
      </c>
      <c r="E487" s="24">
        <f>'Grafer-energi'!AF382</f>
        <v>-9.607644505442261</v>
      </c>
      <c r="F487" s="657">
        <f t="shared" si="46"/>
        <v>-23.359213482718847</v>
      </c>
      <c r="G487" s="660">
        <f t="shared" si="47"/>
        <v>0.5887</v>
      </c>
      <c r="H487" s="660">
        <f t="shared" si="47"/>
        <v>0.4113</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100"/>
      <c r="C488" s="101"/>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100"/>
      <c r="C489" s="101"/>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5" t="s">
        <v>116</v>
      </c>
      <c r="C490" s="101"/>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5"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5"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4" t="s">
        <v>80</v>
      </c>
      <c r="E549" s="654" t="s">
        <v>80</v>
      </c>
      <c r="F549" s="654" t="s">
        <v>607</v>
      </c>
      <c r="G549" s="654"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61" t="s">
        <v>609</v>
      </c>
      <c r="C550" s="662"/>
      <c r="D550" s="654" t="s">
        <v>90</v>
      </c>
      <c r="E550" s="654" t="s">
        <v>81</v>
      </c>
      <c r="F550" s="654" t="s">
        <v>90</v>
      </c>
      <c r="G550" s="654"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7" t="s">
        <v>108</v>
      </c>
      <c r="C551" s="656">
        <v>1990</v>
      </c>
      <c r="D551" s="191">
        <f>$M$378</f>
        <v>177.99</v>
      </c>
      <c r="E551" s="191">
        <f>$W$378</f>
        <v>482.20999999999992</v>
      </c>
      <c r="F551" s="663">
        <f t="shared" ref="F551:G557" si="49">D551/($D551+$E551)</f>
        <v>0.26960012117540144</v>
      </c>
      <c r="G551" s="663">
        <f t="shared" si="49"/>
        <v>0.73039987882459856</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8"/>
      <c r="C552" s="656" t="s">
        <v>610</v>
      </c>
      <c r="D552" s="191"/>
      <c r="E552" s="191"/>
      <c r="F552" s="663"/>
      <c r="G552" s="663"/>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8"/>
      <c r="C553" s="656">
        <v>2007</v>
      </c>
      <c r="D553" s="191">
        <f>$O$378</f>
        <v>530.27</v>
      </c>
      <c r="E553" s="191">
        <f>$Y$378</f>
        <v>653.10000000000014</v>
      </c>
      <c r="F553" s="663">
        <f t="shared" si="49"/>
        <v>0.44810160811918498</v>
      </c>
      <c r="G553" s="663">
        <f t="shared" si="49"/>
        <v>0.55189839188081502</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8"/>
      <c r="C554" s="656">
        <v>2009</v>
      </c>
      <c r="D554" s="191">
        <f>$P$378</f>
        <v>933.94999999999993</v>
      </c>
      <c r="E554" s="191">
        <f>$Z$378</f>
        <v>318.36</v>
      </c>
      <c r="F554" s="663">
        <f t="shared" si="49"/>
        <v>0.74578179524239208</v>
      </c>
      <c r="G554" s="663">
        <f t="shared" si="49"/>
        <v>0.25421820475760798</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8"/>
      <c r="C555" s="656">
        <v>2011</v>
      </c>
      <c r="D555" s="191">
        <f>$Q$378</f>
        <v>846.8</v>
      </c>
      <c r="E555" s="191">
        <f>$AA$378</f>
        <v>426.70000000000005</v>
      </c>
      <c r="F555" s="663">
        <f t="shared" si="49"/>
        <v>0.66493914409108756</v>
      </c>
      <c r="G555" s="663">
        <f t="shared" si="49"/>
        <v>0.33506085590891249</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8"/>
      <c r="C556" s="656">
        <v>2013</v>
      </c>
      <c r="D556" s="191">
        <f>$R$378</f>
        <v>953.1</v>
      </c>
      <c r="E556" s="191">
        <f>$AB$378</f>
        <v>259.30000000000007</v>
      </c>
      <c r="F556" s="663">
        <f t="shared" si="49"/>
        <v>0.78612669086110187</v>
      </c>
      <c r="G556" s="663">
        <f t="shared" si="49"/>
        <v>0.2138733091388981</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8"/>
      <c r="C557" s="656">
        <v>2015</v>
      </c>
      <c r="D557" s="191">
        <f>$S$378</f>
        <v>917.04650533247582</v>
      </c>
      <c r="E557" s="191">
        <f>$AC$378</f>
        <v>148.85349466752427</v>
      </c>
      <c r="F557" s="663">
        <f t="shared" si="49"/>
        <v>0.86034947493430503</v>
      </c>
      <c r="G557" s="663">
        <f t="shared" si="49"/>
        <v>0.13965052506569497</v>
      </c>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8"/>
      <c r="C558" s="656" t="s">
        <v>610</v>
      </c>
      <c r="D558" s="191"/>
      <c r="E558" s="191"/>
      <c r="F558" s="663"/>
      <c r="G558" s="663"/>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8"/>
      <c r="C559" s="656">
        <v>2018</v>
      </c>
      <c r="D559" s="191">
        <f>$U$378</f>
        <v>968.04647044554042</v>
      </c>
      <c r="E559" s="191">
        <f>$AE$378</f>
        <v>152.1535295544594</v>
      </c>
      <c r="F559" s="663">
        <f t="shared" ref="F559:F560" si="50">D559/($D559+$E559)</f>
        <v>0.8641728891675956</v>
      </c>
      <c r="G559" s="663">
        <f t="shared" ref="G559:G560" si="51">E559/($D559+$E559)</f>
        <v>0.13582711083240442</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B560" s="739"/>
      <c r="C560" s="656">
        <v>2020</v>
      </c>
      <c r="D560" s="191">
        <f>$V$378</f>
        <v>1241.1488518510375</v>
      </c>
      <c r="E560" s="191">
        <f>$AF$378</f>
        <v>-41.728851851037462</v>
      </c>
      <c r="F560" s="663">
        <f t="shared" si="50"/>
        <v>1.0347908587909469</v>
      </c>
      <c r="G560" s="663">
        <f t="shared" si="51"/>
        <v>-3.4790858790946837E-2</v>
      </c>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2" t="s">
        <v>110</v>
      </c>
      <c r="C588" s="103"/>
      <c r="D588" s="103"/>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2007</v>
      </c>
      <c r="F591" s="69">
        <v>2009</v>
      </c>
      <c r="G591" s="69">
        <v>2011</v>
      </c>
      <c r="H591" s="69">
        <v>2013</v>
      </c>
      <c r="I591" s="69">
        <v>2015</v>
      </c>
      <c r="J591" s="69">
        <v>2017</v>
      </c>
      <c r="K591" s="69">
        <v>2018</v>
      </c>
      <c r="L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2" t="s">
        <v>631</v>
      </c>
      <c r="C592" s="24">
        <f>'E1990'!$AA$61</f>
        <v>744.64207401748854</v>
      </c>
      <c r="D592" s="24"/>
      <c r="E592" s="24">
        <f>'E2007'!$AA$61</f>
        <v>696.25902892366764</v>
      </c>
      <c r="F592" s="24">
        <f>'E2009'!$AA$61</f>
        <v>637.59231941898565</v>
      </c>
      <c r="G592" s="24">
        <f>'E2011'!$AA$61</f>
        <v>581.20724404019495</v>
      </c>
      <c r="H592" s="24">
        <f>'E2013'!$AA$61</f>
        <v>506.78709133730558</v>
      </c>
      <c r="I592" s="24">
        <f>'E2015'!$AA$61</f>
        <v>503.3911714702316</v>
      </c>
      <c r="J592" s="24">
        <f>'E2017'!$AA$61</f>
        <v>487.26535240193186</v>
      </c>
      <c r="K592" s="24">
        <f>'E2018'!$AA$61</f>
        <v>459.4991429593066</v>
      </c>
      <c r="L592" s="24">
        <f>'E2020'!$AA$61</f>
        <v>418.73208158368521</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2" t="s">
        <v>221</v>
      </c>
      <c r="C593" s="24">
        <f>'E1990'!$AA$62+'E1990'!$AA$63</f>
        <v>185.03025259603803</v>
      </c>
      <c r="D593" s="24"/>
      <c r="E593" s="24">
        <f>'E2007'!$AA$62+'E2007'!$AA$63</f>
        <v>547.37333134626545</v>
      </c>
      <c r="F593" s="24">
        <f>'E2009'!$AA$62+'E2009'!$AA$63</f>
        <v>617.26409524201904</v>
      </c>
      <c r="G593" s="24">
        <f>'E2011'!$AA$62+'E2011'!$AA$63</f>
        <v>646.6081321958286</v>
      </c>
      <c r="H593" s="24">
        <f>'E2013'!$AA$62+'E2013'!$AA$63</f>
        <v>671.6899333169132</v>
      </c>
      <c r="I593" s="24">
        <f>'E2015'!$AA$62+'E2015'!$AA$63</f>
        <v>633.86468617143782</v>
      </c>
      <c r="J593" s="24">
        <f>'E2017'!$AA$62+'E2017'!$AA$63</f>
        <v>643.30544695650769</v>
      </c>
      <c r="K593" s="24">
        <f>'E2018'!$AA$62+'E2018'!$AA$63</f>
        <v>590.2262988606044</v>
      </c>
      <c r="L593" s="24">
        <f>'E2020'!$AA$62+'E2020'!$AA$63</f>
        <v>495.08782846200626</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2" t="s">
        <v>632</v>
      </c>
      <c r="C594" s="24">
        <f>'E1990'!$AH$64+'E1990'!$AH$65+'E1990'!$AA$65+'E1990'!$AA$66</f>
        <v>0</v>
      </c>
      <c r="D594" s="24"/>
      <c r="E594" s="24">
        <f>'E2007'!$AH$64+'E2007'!$AH$65+'E2007'!$AA$65+'E2007'!$AA$66</f>
        <v>0</v>
      </c>
      <c r="F594" s="24">
        <f>'E2009'!$AH$64+'E2009'!$AH$65+'E2009'!$AA$65+'E2009'!$AA$66</f>
        <v>0</v>
      </c>
      <c r="G594" s="24">
        <f>'E2011'!$AH$64+'E2011'!$AH$65+'E2011'!$AA$65+'E2011'!$AA$66</f>
        <v>6.5900538142156066E-3</v>
      </c>
      <c r="H594" s="24">
        <f>'E2013'!$AH$64+'E2013'!$AH$65+'E2013'!$AA$65+'E2013'!$AA$66</f>
        <v>4.335030838357655E-2</v>
      </c>
      <c r="I594" s="24">
        <f>'E2015'!$AH$64+'E2015'!$AH$65+'E2015'!$AA$65+'E2015'!$AA$66</f>
        <v>0.3401450546907428</v>
      </c>
      <c r="J594" s="24">
        <f>'E2017'!$AH$64+'E2017'!$AH$65+'E2017'!$AA$65+'E2017'!$AA$66</f>
        <v>0.38653401349670941</v>
      </c>
      <c r="K594" s="24">
        <f>'E2018'!$AH$64+'E2018'!$AH$65+'E2018'!$AA$65+'E2018'!$AA$66</f>
        <v>1.2027624187137023</v>
      </c>
      <c r="L594" s="24">
        <f>'E2020'!$AH$64+'E2020'!$AH$65+'E2020'!$AA$65+'E2020'!$AA$66</f>
        <v>6.1221440672948289</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646</v>
      </c>
      <c r="C595" s="24">
        <f>'E1990'!$AA$67+'E1990'!$AA$68</f>
        <v>30.009062587984339</v>
      </c>
      <c r="D595" s="24"/>
      <c r="E595" s="24">
        <f>'E2007'!$AA$67+'E2007'!$AA$68</f>
        <v>20.690922830784736</v>
      </c>
      <c r="F595" s="24">
        <f>'E2009'!$AA$67+'E2009'!$AA$68</f>
        <v>17.080808576979589</v>
      </c>
      <c r="G595" s="24">
        <f>'E2011'!$AA$67+'E2011'!$AA$68</f>
        <v>51.179354227724183</v>
      </c>
      <c r="H595" s="24">
        <f>'E2013'!$AA$67+'E2013'!$AA$68</f>
        <v>60.117245023653417</v>
      </c>
      <c r="I595" s="24">
        <f>'E2015'!$AA$67+'E2015'!$AA$68</f>
        <v>56.90054010272766</v>
      </c>
      <c r="J595" s="24">
        <f>'E2017'!$AA$67+'E2017'!$AA$68</f>
        <v>57.705118184946159</v>
      </c>
      <c r="K595" s="24">
        <f>'E2018'!$AA$67+'E2018'!$AA$68</f>
        <v>65.876565876352842</v>
      </c>
      <c r="L595" s="24">
        <f>'E2020'!$AA$67+'E2020'!$AA$68</f>
        <v>38.692776018821469</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647</v>
      </c>
      <c r="C596" s="24">
        <f>'E1990'!$AA$69+'E1990'!$AH$70</f>
        <v>0</v>
      </c>
      <c r="D596" s="24"/>
      <c r="E596" s="24">
        <f>'E2007'!$AA$69+'E2007'!$AH$70</f>
        <v>0</v>
      </c>
      <c r="F596" s="24">
        <f>'E2009'!$AA$69+'E2009'!$AH$70</f>
        <v>0</v>
      </c>
      <c r="G596" s="24">
        <f>'E2011'!$AA$69+'E2011'!$AH$70</f>
        <v>0</v>
      </c>
      <c r="H596" s="24">
        <f>'E2013'!$AA$69+'E2013'!$AH$70</f>
        <v>0</v>
      </c>
      <c r="I596" s="24">
        <f>'E2015'!$AA$69+'E2015'!$AH$70</f>
        <v>0</v>
      </c>
      <c r="J596" s="24">
        <f>'E2017'!$AA$69+'E2017'!$AH$70</f>
        <v>0</v>
      </c>
      <c r="K596" s="24">
        <f>'E2018'!$AA$69+'E2018'!$AH$70</f>
        <v>0</v>
      </c>
      <c r="L596" s="24">
        <f>'E2020'!$AA$69+'E2020'!$AH$70</f>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657</v>
      </c>
      <c r="C597" s="24">
        <f>'E1990'!$AA$71+'E1990'!$AA$72</f>
        <v>269.55201277295214</v>
      </c>
      <c r="D597" s="24"/>
      <c r="E597" s="24">
        <f>'E2007'!$AA$71+'E2007'!$AA$72</f>
        <v>638.41287508576045</v>
      </c>
      <c r="F597" s="24">
        <f>'E2009'!$AA$71+'E2009'!$AA$72</f>
        <v>545.00786164858721</v>
      </c>
      <c r="G597" s="24">
        <f>'E2011'!$AA$71+'E2011'!$AA$72</f>
        <v>595.20769125269578</v>
      </c>
      <c r="H597" s="24">
        <f>'E2013'!$AA$71+'E2013'!$AA$72</f>
        <v>400.13842807915324</v>
      </c>
      <c r="I597" s="24">
        <f>'E2015'!$AA$71+'E2015'!$AA$72</f>
        <v>415.02419117813088</v>
      </c>
      <c r="J597" s="24">
        <f>'E2017'!$AA$71+'E2017'!$AA$72</f>
        <v>416.26753869371174</v>
      </c>
      <c r="K597" s="24">
        <f>'E2018'!$AA$71+'E2018'!$AA$72</f>
        <v>380.38546511107154</v>
      </c>
      <c r="L597" s="24">
        <f>'E2020'!$AA$71+'E2020'!$AA$72</f>
        <v>339.65114169157317</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648</v>
      </c>
      <c r="C598" s="24">
        <f>'E1990'!$AA$73+'E1990'!$AH$74</f>
        <v>0</v>
      </c>
      <c r="D598" s="24"/>
      <c r="E598" s="24">
        <f>'E2007'!$AA$73+'E2007'!$AH$74</f>
        <v>0</v>
      </c>
      <c r="F598" s="24">
        <f>'E2009'!$AA$73+'E2009'!$AH$74</f>
        <v>0</v>
      </c>
      <c r="G598" s="24">
        <f>'E2011'!$AA$73+'E2011'!$AH$74</f>
        <v>0</v>
      </c>
      <c r="H598" s="24">
        <f>'E2013'!$AA$73+'E2013'!$AH$74</f>
        <v>0</v>
      </c>
      <c r="I598" s="24">
        <f>'E2015'!$AA$73+'E2015'!$AH$74</f>
        <v>0</v>
      </c>
      <c r="J598" s="24">
        <f>'E2017'!$AA$73+'E2017'!$AH$74</f>
        <v>0</v>
      </c>
      <c r="K598" s="24">
        <f>'E2018'!$AA$73+'E2018'!$AH$74</f>
        <v>0</v>
      </c>
      <c r="L598" s="24">
        <f>'E2020'!$AA$73+'E2020'!$AH$74</f>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f>+'E1990'!$AA$75</f>
        <v>218.42</v>
      </c>
      <c r="D599" s="24"/>
      <c r="E599" s="24">
        <f>+'E2007'!$AA$75</f>
        <v>232.29935801127732</v>
      </c>
      <c r="F599" s="24">
        <f>+'E2009'!$AA$75</f>
        <v>271.27914665963829</v>
      </c>
      <c r="G599" s="24">
        <f>+'E2011'!$AA$75</f>
        <v>263.011904755675</v>
      </c>
      <c r="H599" s="24">
        <f>+'E2013'!$AA$75</f>
        <v>251.2666407974576</v>
      </c>
      <c r="I599" s="24">
        <f>+'E2015'!$AA$75</f>
        <v>244.07912884449448</v>
      </c>
      <c r="J599" s="24">
        <f>+'E2017'!$AA$75</f>
        <v>223.15171813934998</v>
      </c>
      <c r="K599" s="24">
        <f>+'E2018'!$AA$75</f>
        <v>224.93560041197676</v>
      </c>
      <c r="L599" s="24">
        <f>+'E2020'!$AA$75</f>
        <v>205.84</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f>+'E1990'!$AA$76+'E1990'!$AA$77+'E1990'!$AA$78</f>
        <v>37.270000000000003</v>
      </c>
      <c r="D600" s="24"/>
      <c r="E600" s="24">
        <f>+'E2007'!$AA$76+'E2007'!$AA$77+'E2007'!$AA$78</f>
        <v>27.3</v>
      </c>
      <c r="F600" s="24">
        <f>+'E2009'!$AA$76+'E2009'!$AA$77+'E2009'!$AA$78</f>
        <v>27.3</v>
      </c>
      <c r="G600" s="24">
        <f>+'E2011'!$AA$76+'E2011'!$AA$77+'E2011'!$AA$78</f>
        <v>29.1</v>
      </c>
      <c r="H600" s="24">
        <f>+'E2013'!$AA$76+'E2013'!$AA$77+'E2013'!$AA$78</f>
        <v>28.3</v>
      </c>
      <c r="I600" s="24">
        <f>+'E2015'!$AA$76+'E2015'!$AA$77+'E2015'!$AA$78</f>
        <v>27.7</v>
      </c>
      <c r="J600" s="24">
        <f>+'E2017'!$AA$76+'E2017'!$AA$77+'E2017'!$AA$78</f>
        <v>26.69</v>
      </c>
      <c r="K600" s="24">
        <f>+'E2018'!$AA$76+'E2018'!$AA$77+'E2018'!$AA$78</f>
        <v>24.4</v>
      </c>
      <c r="L600" s="24">
        <f>+'E2020'!$AA$76+'E2020'!$AA$77+'E2020'!$AA$78</f>
        <v>20.9</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f>+'E1990'!$AA$79</f>
        <v>269.38</v>
      </c>
      <c r="D601" s="24"/>
      <c r="E601" s="24">
        <f>+'E2007'!$AA$79</f>
        <v>361.4</v>
      </c>
      <c r="F601" s="24">
        <f>+'E2009'!$AA$79</f>
        <v>310</v>
      </c>
      <c r="G601" s="24">
        <f>+'E2011'!$AA$79</f>
        <v>330.1</v>
      </c>
      <c r="H601" s="24">
        <f>+'E2013'!$AA$79</f>
        <v>315.3</v>
      </c>
      <c r="I601" s="24">
        <f>+'E2015'!$AA$79</f>
        <v>321.2</v>
      </c>
      <c r="J601" s="24">
        <f>+'E2017'!$AA$79</f>
        <v>353</v>
      </c>
      <c r="K601" s="24">
        <f>+'E2018'!$AA$79</f>
        <v>360.9</v>
      </c>
      <c r="L601" s="24">
        <f>+'E2020'!$AA$79</f>
        <v>127.38</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f>+'E1990'!$AA$80</f>
        <v>58.95</v>
      </c>
      <c r="D602" s="24"/>
      <c r="E602" s="24">
        <f>+'E2007'!$AA$80</f>
        <v>55.7</v>
      </c>
      <c r="F602" s="24">
        <f>+'E2009'!$AA$80</f>
        <v>66.2</v>
      </c>
      <c r="G602" s="24">
        <f>+'E2011'!$AA$80</f>
        <v>55.3</v>
      </c>
      <c r="H602" s="24">
        <f>+'E2013'!$AA$80</f>
        <v>53.1</v>
      </c>
      <c r="I602" s="24">
        <f>+'E2015'!$AA$80</f>
        <v>46.5</v>
      </c>
      <c r="J602" s="24">
        <f>+'E2017'!$AA$80</f>
        <v>50.3</v>
      </c>
      <c r="K602" s="24">
        <f>+'E2018'!$AA$80</f>
        <v>51.5</v>
      </c>
      <c r="L602" s="24">
        <f>+'E2020'!$AA$80</f>
        <v>38.68</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1" t="s">
        <v>98</v>
      </c>
      <c r="C603" s="92">
        <f t="shared" ref="C603:E603" si="52">SUM(C592:C602)</f>
        <v>1813.2534019744633</v>
      </c>
      <c r="D603" s="92"/>
      <c r="E603" s="92">
        <f t="shared" si="52"/>
        <v>2579.435516197756</v>
      </c>
      <c r="F603" s="92">
        <f t="shared" ref="F603:I603" si="53">SUM(F592:F602)</f>
        <v>2491.7242315462095</v>
      </c>
      <c r="G603" s="92">
        <f t="shared" si="53"/>
        <v>2551.7209165259328</v>
      </c>
      <c r="H603" s="92">
        <f t="shared" si="53"/>
        <v>2286.7426888628665</v>
      </c>
      <c r="I603" s="92">
        <f t="shared" si="53"/>
        <v>2248.9998628217136</v>
      </c>
      <c r="J603" s="92">
        <f>SUM(J592:J602)</f>
        <v>2258.0717083899444</v>
      </c>
      <c r="K603" s="92">
        <f>SUM(K592:K602)</f>
        <v>2158.925835638026</v>
      </c>
      <c r="L603" s="92">
        <f>SUM(L592:L602)</f>
        <v>1691.0859718233812</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2" t="s">
        <v>120</v>
      </c>
      <c r="C696" s="103"/>
      <c r="D696" s="103"/>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122</v>
      </c>
      <c r="H706" s="76" t="s">
        <v>179</v>
      </c>
      <c r="I706" s="76" t="s">
        <v>179</v>
      </c>
      <c r="J706" s="76" t="s">
        <v>179</v>
      </c>
      <c r="K706" s="76" t="s">
        <v>122</v>
      </c>
      <c r="L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2007</v>
      </c>
      <c r="F707" s="69">
        <v>2009</v>
      </c>
      <c r="G707" s="69">
        <v>2011</v>
      </c>
      <c r="H707" s="69">
        <v>2013</v>
      </c>
      <c r="I707" s="69">
        <v>2015</v>
      </c>
      <c r="J707" s="69">
        <v>2017</v>
      </c>
      <c r="K707" s="69">
        <v>2018</v>
      </c>
      <c r="L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f>'E1990'!$A$82</f>
        <v>168.72266314296658</v>
      </c>
      <c r="D708" s="24"/>
      <c r="E708" s="24">
        <f>'E2007'!$A$82</f>
        <v>7.8176747279763186</v>
      </c>
      <c r="F708" s="24">
        <f>'E2009'!$A$82</f>
        <v>91.338846779918754</v>
      </c>
      <c r="G708" s="24">
        <f>'E2011'!$A$82</f>
        <v>49.240353014827917</v>
      </c>
      <c r="H708" s="24">
        <f>'E2013'!$A$82</f>
        <v>24.193538388773263</v>
      </c>
      <c r="I708" s="24">
        <f>'E2015'!$A$82</f>
        <v>-32.884766621295149</v>
      </c>
      <c r="J708" s="24">
        <f>'E2017'!$A$82</f>
        <v>-20.949253687868911</v>
      </c>
      <c r="K708" s="24">
        <f>'E2018'!$A$82</f>
        <v>-16.382062393039238</v>
      </c>
      <c r="L708" s="24">
        <f>'E2020'!$A$82</f>
        <v>-1.8042995758085667</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4" t="s">
        <v>123</v>
      </c>
      <c r="B709" s="71" t="s">
        <v>83</v>
      </c>
      <c r="C709" s="24">
        <f>'E1990'!$C$82</f>
        <v>24.812279999999998</v>
      </c>
      <c r="D709" s="24"/>
      <c r="E709" s="24">
        <f>'E2007'!$C$82</f>
        <v>0</v>
      </c>
      <c r="F709" s="24">
        <f>'E2009'!$C$82</f>
        <v>0</v>
      </c>
      <c r="G709" s="24">
        <f>'E2011'!$C$82</f>
        <v>0</v>
      </c>
      <c r="H709" s="24">
        <f>'E2013'!$C$82</f>
        <v>0</v>
      </c>
      <c r="I709" s="24">
        <f>'E2015'!$C$82</f>
        <v>0</v>
      </c>
      <c r="J709" s="24">
        <f>'E2017'!$C$82</f>
        <v>0</v>
      </c>
      <c r="K709" s="24">
        <f>'E2018'!$C$82</f>
        <v>0</v>
      </c>
      <c r="L709" s="24">
        <f>'E2020'!$C$82</f>
        <v>0</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5"/>
      <c r="B710" s="71" t="s">
        <v>84</v>
      </c>
      <c r="C710" s="24">
        <f>'E1990'!$I$82+'E1990'!$B$82</f>
        <v>44.131777999999997</v>
      </c>
      <c r="D710" s="24"/>
      <c r="E710" s="24">
        <f>'E2007'!$I$82+'E2007'!$B$82</f>
        <v>85.40881163088801</v>
      </c>
      <c r="F710" s="24">
        <f>'E2009'!$I$82+'E2009'!$B$82</f>
        <v>72.62499600000001</v>
      </c>
      <c r="G710" s="24">
        <f>'E2011'!$I$82+'E2011'!$B$82</f>
        <v>80.202582000000021</v>
      </c>
      <c r="H710" s="24">
        <f>'E2013'!$I$82+'E2013'!$B$82</f>
        <v>68.045436000000009</v>
      </c>
      <c r="I710" s="24">
        <f>'E2015'!$I$82+'E2015'!$B$82</f>
        <v>52.451224300388731</v>
      </c>
      <c r="J710" s="24">
        <f>'E2017'!$I$82+'E2017'!$B$82</f>
        <v>54.189805958131018</v>
      </c>
      <c r="K710" s="24">
        <f>'E2018'!$I$82+'E2018'!$B$82</f>
        <v>53.373423135356667</v>
      </c>
      <c r="L710" s="24">
        <f>'E2020'!$I$82+'E2020'!$B$82</f>
        <v>-9.0221270821060475</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5"/>
      <c r="B711" s="71" t="s">
        <v>85</v>
      </c>
      <c r="C711" s="24">
        <f>'E1990'!$D$82</f>
        <v>17.094189000000004</v>
      </c>
      <c r="D711" s="24"/>
      <c r="E711" s="24">
        <f>'E2007'!$D$82</f>
        <v>0.76659100000000002</v>
      </c>
      <c r="F711" s="24">
        <f>'E2009'!$D$82</f>
        <v>12.96092</v>
      </c>
      <c r="G711" s="24">
        <f>'E2011'!$D$82</f>
        <v>12.731733000000002</v>
      </c>
      <c r="H711" s="24">
        <f>'E2013'!$D$82</f>
        <v>11.080005999999999</v>
      </c>
      <c r="I711" s="24">
        <f>'E2015'!$D$82</f>
        <v>10.700661999999999</v>
      </c>
      <c r="J711" s="24">
        <f>'E2017'!$D$82</f>
        <v>0.68756099999999987</v>
      </c>
      <c r="K711" s="24">
        <f>'E2018'!$D$82</f>
        <v>0</v>
      </c>
      <c r="L711" s="24">
        <f>'E2020'!$D$82</f>
        <v>0.30031400000000003</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5"/>
      <c r="B712" s="71" t="s">
        <v>86</v>
      </c>
      <c r="C712" s="24">
        <f>'E1990'!$E$82+'E1990'!$F$82</f>
        <v>239.82178440161178</v>
      </c>
      <c r="D712" s="24"/>
      <c r="E712" s="24">
        <f>'E2007'!$E$82+'E2007'!$F$82</f>
        <v>167.7013777070099</v>
      </c>
      <c r="F712" s="24">
        <f>'E2009'!$E$82+'E2009'!$F$82</f>
        <v>155.00790130928499</v>
      </c>
      <c r="G712" s="24">
        <f>'E2011'!$E$82+'E2011'!$F$82</f>
        <v>146.67861005967055</v>
      </c>
      <c r="H712" s="24">
        <f>'E2013'!$E$82+'E2013'!$F$82</f>
        <v>123.69994174039374</v>
      </c>
      <c r="I712" s="24">
        <f>'E2015'!$E$82+'E2015'!$F$82</f>
        <v>119.64272685676676</v>
      </c>
      <c r="J712" s="24">
        <f>'E2017'!$E$82+'E2017'!$F$82</f>
        <v>110.14889409308681</v>
      </c>
      <c r="K712" s="24">
        <f>'E2018'!$E$82+'E2018'!$F$82</f>
        <v>105.09513282819582</v>
      </c>
      <c r="L712" s="24">
        <f>'E2020'!$E$82+'E2020'!$F$82</f>
        <v>90.393323866176075</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5"/>
      <c r="B713" s="71" t="s">
        <v>87</v>
      </c>
      <c r="C713" s="24">
        <f>'E1990'!$G$82</f>
        <v>19.291679999999999</v>
      </c>
      <c r="D713" s="24"/>
      <c r="E713" s="24">
        <f>'E2007'!$G$82</f>
        <v>25.956</v>
      </c>
      <c r="F713" s="24">
        <f>'E2009'!$G$82</f>
        <v>22.269600000000001</v>
      </c>
      <c r="G713" s="24">
        <f>'E2011'!$G$82</f>
        <v>23.724</v>
      </c>
      <c r="H713" s="24">
        <f>'E2013'!$G$82</f>
        <v>22.658399999999997</v>
      </c>
      <c r="I713" s="24">
        <f>'E2015'!$G$82</f>
        <v>23.097600000000003</v>
      </c>
      <c r="J713" s="24">
        <f>'E2017'!$G$82</f>
        <v>25.394399999999997</v>
      </c>
      <c r="K713" s="24">
        <f>'E2018'!$G$82</f>
        <v>25.956</v>
      </c>
      <c r="L713" s="24">
        <f>'E2020'!$G$82</f>
        <v>9.1461600000000001</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5"/>
      <c r="B714" s="71" t="s">
        <v>88</v>
      </c>
      <c r="C714" s="24">
        <f>'E1990'!$H$82</f>
        <v>54.463991403276665</v>
      </c>
      <c r="D714" s="24"/>
      <c r="E714" s="24">
        <f>'E2007'!$H$82</f>
        <v>50.740128384093452</v>
      </c>
      <c r="F714" s="24">
        <f>'E2009'!$H$82</f>
        <v>46.455706599633203</v>
      </c>
      <c r="G714" s="24">
        <f>'E2011'!$H$82</f>
        <v>41.15665682167127</v>
      </c>
      <c r="H714" s="24">
        <f>'E2013'!$H$82</f>
        <v>35.855403022259367</v>
      </c>
      <c r="I714" s="24">
        <f>'E2015'!$H$82</f>
        <v>35.647586526741954</v>
      </c>
      <c r="J714" s="24">
        <f>'E2017'!$H$82</f>
        <v>34.498780463240536</v>
      </c>
      <c r="K714" s="24">
        <f>'E2018'!$H$82</f>
        <v>32.580894732172602</v>
      </c>
      <c r="L714" s="24">
        <f>'E2020'!$H$82</f>
        <v>28.968457176961699</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6"/>
      <c r="B715" s="71" t="s">
        <v>89</v>
      </c>
      <c r="C715" s="24">
        <f>'E1990'!$Z$82</f>
        <v>1.8425501999999998</v>
      </c>
      <c r="D715" s="24"/>
      <c r="E715" s="24">
        <f>'E2007'!$Z$82</f>
        <v>0</v>
      </c>
      <c r="F715" s="24">
        <f>'E2009'!$Z$82</f>
        <v>0</v>
      </c>
      <c r="G715" s="24">
        <f>'E2011'!$Z$82</f>
        <v>0</v>
      </c>
      <c r="H715" s="24">
        <f>'E2013'!$Z$82</f>
        <v>0</v>
      </c>
      <c r="I715" s="24">
        <f>'E2015'!$Z$82</f>
        <v>0</v>
      </c>
      <c r="J715" s="24">
        <f>'E2017'!$Z$82</f>
        <v>9.444000000000001E-3</v>
      </c>
      <c r="K715" s="24">
        <f>'E2018'!$Z$82</f>
        <v>0</v>
      </c>
      <c r="L715" s="24">
        <f>'E2020'!$Z$82</f>
        <v>0</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31" t="s">
        <v>90</v>
      </c>
      <c r="B716" s="71" t="s">
        <v>91</v>
      </c>
      <c r="C716" s="24">
        <f>'E1990'!$X$82</f>
        <v>0</v>
      </c>
      <c r="D716" s="24"/>
      <c r="E716" s="24">
        <f>'E2007'!$X$82</f>
        <v>0</v>
      </c>
      <c r="F716" s="24">
        <f>'E2009'!$X$82</f>
        <v>0</v>
      </c>
      <c r="G716" s="24">
        <f>'E2011'!$X$82</f>
        <v>0</v>
      </c>
      <c r="H716" s="24">
        <f>'E2013'!$X$82</f>
        <v>0</v>
      </c>
      <c r="I716" s="24">
        <f>'E2015'!$X$82</f>
        <v>0</v>
      </c>
      <c r="J716" s="24">
        <f>'E2017'!$X$82</f>
        <v>0</v>
      </c>
      <c r="K716" s="24">
        <f>'E2018'!$X$82</f>
        <v>0</v>
      </c>
      <c r="L716" s="24">
        <f>'E2020'!$X$82</f>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31"/>
      <c r="B717" s="71" t="s">
        <v>92</v>
      </c>
      <c r="C717" s="24">
        <f>'E1990'!$S$82+'E1990'!$T$82+'E1990'!$U$82+'E1990'!$V$82</f>
        <v>0</v>
      </c>
      <c r="D717" s="24"/>
      <c r="E717" s="24">
        <f>'E2007'!$S$82+'E2007'!$T$82+'E2007'!$U$82+'E2007'!$V$82</f>
        <v>0</v>
      </c>
      <c r="F717" s="24">
        <f>'E2009'!$S$82+'E2009'!$T$82+'E2009'!$U$82+'E2009'!$V$82</f>
        <v>0</v>
      </c>
      <c r="G717" s="24">
        <f>'E2011'!$S$82+'E2011'!$T$82+'E2011'!$U$82+'E2011'!$V$82</f>
        <v>0</v>
      </c>
      <c r="H717" s="24">
        <f>'E2013'!$S$82+'E2013'!$T$82+'E2013'!$U$82+'E2013'!$V$82</f>
        <v>0</v>
      </c>
      <c r="I717" s="24">
        <f>'E2015'!$S$82+'E2015'!$T$82+'E2015'!$U$82+'E2015'!$V$82</f>
        <v>0</v>
      </c>
      <c r="J717" s="24">
        <f>'E2017'!$S$82+'E2017'!$T$82+'E2017'!$U$82+'E2017'!$V$82</f>
        <v>0</v>
      </c>
      <c r="K717" s="24">
        <f>'E2018'!$S$82+'E2018'!$T$82+'E2018'!$U$82+'E2018'!$V$82</f>
        <v>0</v>
      </c>
      <c r="L717" s="24">
        <f>'E2020'!$S$82+'E2020'!$T$82+'E2020'!$U$82+'E2020'!$V$82</f>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31"/>
      <c r="B718" s="71" t="s">
        <v>93</v>
      </c>
      <c r="C718" s="24">
        <f>'E1990'!$M$82</f>
        <v>0</v>
      </c>
      <c r="D718" s="24"/>
      <c r="E718" s="24">
        <f>'E2007'!$M$82</f>
        <v>0</v>
      </c>
      <c r="F718" s="24">
        <f>'E2009'!$M$82</f>
        <v>0</v>
      </c>
      <c r="G718" s="24">
        <f>'E2011'!$M$82</f>
        <v>0</v>
      </c>
      <c r="H718" s="24">
        <f>'E2013'!$M$82</f>
        <v>0</v>
      </c>
      <c r="I718" s="24">
        <f>'E2015'!$M$82</f>
        <v>0</v>
      </c>
      <c r="J718" s="24">
        <f>'E2017'!$M$82</f>
        <v>0</v>
      </c>
      <c r="K718" s="24">
        <f>'E2018'!$M$82</f>
        <v>0</v>
      </c>
      <c r="L718" s="24">
        <f>'E2020'!$M$82</f>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31"/>
      <c r="B719" s="71" t="s">
        <v>94</v>
      </c>
      <c r="C719" s="24">
        <f>'E1990'!$R$82+'E1990'!$W$82+'E1990'!$Y$82</f>
        <v>0</v>
      </c>
      <c r="D719" s="24"/>
      <c r="E719" s="24">
        <f>'E2007'!$R$82+'E2007'!$W$82+'E2007'!$Y$82</f>
        <v>0</v>
      </c>
      <c r="F719" s="24">
        <f>'E2009'!$R$82+'E2009'!$W$82+'E2009'!$Y$82</f>
        <v>0</v>
      </c>
      <c r="G719" s="24">
        <f>'E2011'!$R$82+'E2011'!$W$82+'E2011'!$Y$82</f>
        <v>0</v>
      </c>
      <c r="H719" s="24">
        <f>'E2013'!$R$82+'E2013'!$W$82+'E2013'!$Y$82</f>
        <v>0</v>
      </c>
      <c r="I719" s="24">
        <f>'E2015'!$R$82+'E2015'!$W$82+'E2015'!$Y$82</f>
        <v>0</v>
      </c>
      <c r="J719" s="24">
        <f>'E2017'!$R$82+'E2017'!$W$82+'E2017'!$Y$82</f>
        <v>0</v>
      </c>
      <c r="K719" s="24">
        <f>'E2018'!$R$82+'E2018'!$W$82+'E2018'!$Y$82</f>
        <v>0</v>
      </c>
      <c r="L719" s="24">
        <f>'E2020'!$R$82+'E2020'!$W$82+'E2020'!$Y$82</f>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31"/>
      <c r="B720" s="71" t="s">
        <v>95</v>
      </c>
      <c r="C720" s="24">
        <f>'E1990'!$O$82</f>
        <v>0</v>
      </c>
      <c r="D720" s="24"/>
      <c r="E720" s="24">
        <f>'E2007'!$O$82</f>
        <v>0</v>
      </c>
      <c r="F720" s="24">
        <f>'E2009'!$O$82</f>
        <v>0</v>
      </c>
      <c r="G720" s="24">
        <f>'E2011'!$O$82</f>
        <v>0</v>
      </c>
      <c r="H720" s="24">
        <f>'E2013'!$O$82</f>
        <v>0</v>
      </c>
      <c r="I720" s="24">
        <f>'E2015'!$O$82</f>
        <v>0</v>
      </c>
      <c r="J720" s="24">
        <f>'E2017'!$O$82</f>
        <v>0</v>
      </c>
      <c r="K720" s="24">
        <f>'E2018'!$O$82</f>
        <v>0</v>
      </c>
      <c r="L720" s="24">
        <f>'E2020'!$O$82</f>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31"/>
      <c r="B721" s="71" t="s">
        <v>223</v>
      </c>
      <c r="C721" s="24">
        <f>'E1990'!$N$82+'E1990'!$P$82+'E1990'!$Q$82+'E1990'!$J$82+'E1990'!$K$82+'E1990'!$L$82</f>
        <v>0</v>
      </c>
      <c r="D721" s="24"/>
      <c r="E721" s="24">
        <f>'E2007'!$N$82+'E2007'!$P$82+'E2007'!$Q$82+'E2007'!$J$82+'E2007'!$K$82+'E2007'!$L$82</f>
        <v>0</v>
      </c>
      <c r="F721" s="24">
        <f>'E2009'!$N$82+'E2009'!$P$82+'E2009'!$Q$82+'E2009'!$J$82+'E2009'!$K$82+'E2009'!$L$82</f>
        <v>0</v>
      </c>
      <c r="G721" s="24">
        <f>'E2011'!$N$82+'E2011'!$P$82+'E2011'!$Q$82+'E2011'!$J$82+'E2011'!$K$82+'E2011'!$L$82</f>
        <v>0</v>
      </c>
      <c r="H721" s="24">
        <f>'E2013'!$N$82+'E2013'!$P$82+'E2013'!$Q$82+'E2013'!$J$82+'E2013'!$K$82+'E2013'!$L$82</f>
        <v>0</v>
      </c>
      <c r="I721" s="24">
        <f>'E2015'!$N$82+'E2015'!$P$82+'E2015'!$Q$82+'E2015'!$J$82+'E2015'!$K$82+'E2015'!$L$82</f>
        <v>0</v>
      </c>
      <c r="J721" s="24">
        <f>'E2017'!$N$82+'E2017'!$P$82+'E2017'!$Q$82+'E2017'!$J$82+'E2017'!$K$82+'E2017'!$L$82</f>
        <v>0</v>
      </c>
      <c r="K721" s="24">
        <f>'E2018'!$N$82+'E2018'!$P$82+'E2018'!$Q$82+'E2018'!$J$82+'E2018'!$K$82+'E2018'!$L$82</f>
        <v>0</v>
      </c>
      <c r="L721" s="24">
        <f>'E2020'!$N$82+'E2020'!$P$82+'E2020'!$Q$82+'E2020'!$J$82+'E2020'!$K$82+'E2020'!$L$82</f>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31"/>
      <c r="B722" s="71" t="s">
        <v>639</v>
      </c>
      <c r="C722" s="24">
        <f>IF('E1990'!$I$81&lt;0,'E1990'!$I$81*'E1990'!$I$89,0)/1000</f>
        <v>0</v>
      </c>
      <c r="D722" s="24"/>
      <c r="E722" s="24">
        <f>IF('E2007'!$I$81&lt;0,'E2007'!$I$81*'E2007'!$I$89,0)/1000</f>
        <v>0</v>
      </c>
      <c r="F722" s="24">
        <f>IF('E2009'!$I$81&lt;0,'E2009'!$I$81*'E2009'!$I$89,0)/1000</f>
        <v>0</v>
      </c>
      <c r="G722" s="24">
        <f>IF('E2011'!$I$81&lt;0,'E2011'!$I$81*'E2011'!$I$89,0)/1000</f>
        <v>0</v>
      </c>
      <c r="H722" s="24">
        <f>IF('E2013'!$I$81&lt;0,'E2013'!$I$81*'E2013'!$I$89,0)/1000</f>
        <v>0</v>
      </c>
      <c r="I722" s="24">
        <f>IF('E2015'!$I$81&lt;0,'E2015'!$I$81*'E2015'!$I$89,0)/1000</f>
        <v>0</v>
      </c>
      <c r="J722" s="24">
        <f>IF('E2017'!$I$81&lt;0,'E2017'!$I$81*'E2017'!$I$89,0)/1000</f>
        <v>0</v>
      </c>
      <c r="K722" s="24">
        <f>IF('E2018'!$I$81&lt;0,'E2018'!$I$81*'E2018'!$I$89,0)/1000</f>
        <v>0</v>
      </c>
      <c r="L722" s="24">
        <f>IF('E2020'!$I$81&lt;0,'E2020'!$I$81*'E2020'!$I$89,0)/1000</f>
        <v>-10.369319082106047</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8">
        <f t="shared" ref="C723" si="54">SUM(C708:C721)</f>
        <v>570.18091614785499</v>
      </c>
      <c r="D723" s="678"/>
      <c r="E723" s="678">
        <f t="shared" ref="E723" si="55">SUM(E708:E721)</f>
        <v>338.39058344996772</v>
      </c>
      <c r="F723" s="678">
        <f t="shared" ref="F723:I723" si="56">SUM(F708:F721)</f>
        <v>400.65797068883694</v>
      </c>
      <c r="G723" s="678">
        <f t="shared" si="56"/>
        <v>353.73393489616973</v>
      </c>
      <c r="H723" s="678">
        <f t="shared" si="56"/>
        <v>285.53272515142635</v>
      </c>
      <c r="I723" s="678">
        <f t="shared" si="56"/>
        <v>208.65503306260229</v>
      </c>
      <c r="J723" s="678">
        <f>SUM(J708:J721)</f>
        <v>203.97963182658944</v>
      </c>
      <c r="K723" s="678">
        <f>SUM(K708:K721)</f>
        <v>200.62338830268584</v>
      </c>
      <c r="L723" s="678">
        <f>SUM(L708:L721)</f>
        <v>117.98182838522317</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620</v>
      </c>
      <c r="C726" s="76" t="s">
        <v>122</v>
      </c>
      <c r="D726" s="76"/>
      <c r="E726" s="76" t="s">
        <v>611</v>
      </c>
      <c r="F726" s="76" t="s">
        <v>612</v>
      </c>
      <c r="G726" s="76" t="s">
        <v>613</v>
      </c>
      <c r="H726" s="76" t="s">
        <v>614</v>
      </c>
      <c r="I726" s="76" t="s">
        <v>615</v>
      </c>
      <c r="J726" s="76" t="s">
        <v>616</v>
      </c>
      <c r="K726" s="76" t="s">
        <v>617</v>
      </c>
      <c r="L726" s="76" t="s">
        <v>618</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3"/>
      <c r="C727" s="679">
        <f t="shared" ref="C727:E729" si="57">C707</f>
        <v>1990</v>
      </c>
      <c r="D727" s="679" t="s">
        <v>610</v>
      </c>
      <c r="E727" s="679">
        <f t="shared" si="57"/>
        <v>2007</v>
      </c>
      <c r="F727" s="679">
        <f t="shared" ref="F727:I729" si="58">F707</f>
        <v>2009</v>
      </c>
      <c r="G727" s="679">
        <f t="shared" si="58"/>
        <v>2011</v>
      </c>
      <c r="H727" s="679">
        <f t="shared" si="58"/>
        <v>2013</v>
      </c>
      <c r="I727" s="679">
        <f t="shared" si="58"/>
        <v>2015</v>
      </c>
      <c r="J727" s="679">
        <f t="shared" ref="J727:L729" si="59">J707</f>
        <v>2017</v>
      </c>
      <c r="K727" s="679">
        <f t="shared" si="59"/>
        <v>2018</v>
      </c>
      <c r="L727" s="679">
        <f t="shared" si="59"/>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3" t="s">
        <v>10</v>
      </c>
      <c r="C728" s="1">
        <f t="shared" si="57"/>
        <v>168.72266314296658</v>
      </c>
      <c r="D728" s="1"/>
      <c r="E728" s="1">
        <f t="shared" si="57"/>
        <v>7.8176747279763186</v>
      </c>
      <c r="F728" s="1">
        <f t="shared" si="58"/>
        <v>91.338846779918754</v>
      </c>
      <c r="G728" s="1">
        <f t="shared" si="58"/>
        <v>49.240353014827917</v>
      </c>
      <c r="H728" s="1">
        <f t="shared" si="58"/>
        <v>24.193538388773263</v>
      </c>
      <c r="I728" s="1">
        <f t="shared" si="58"/>
        <v>-32.884766621295149</v>
      </c>
      <c r="J728" s="1">
        <f t="shared" si="59"/>
        <v>-20.949253687868911</v>
      </c>
      <c r="K728" s="1">
        <f t="shared" si="59"/>
        <v>-16.382062393039238</v>
      </c>
      <c r="L728" s="1">
        <f t="shared" si="59"/>
        <v>-1.8042995758085667</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3" t="s">
        <v>83</v>
      </c>
      <c r="C729" s="1">
        <f t="shared" si="57"/>
        <v>24.812279999999998</v>
      </c>
      <c r="D729" s="1"/>
      <c r="E729" s="1">
        <f t="shared" si="57"/>
        <v>0</v>
      </c>
      <c r="F729" s="1">
        <f t="shared" si="58"/>
        <v>0</v>
      </c>
      <c r="G729" s="1">
        <f t="shared" si="58"/>
        <v>0</v>
      </c>
      <c r="H729" s="1">
        <f t="shared" si="58"/>
        <v>0</v>
      </c>
      <c r="I729" s="1">
        <f t="shared" si="58"/>
        <v>0</v>
      </c>
      <c r="J729" s="1">
        <f t="shared" si="59"/>
        <v>0</v>
      </c>
      <c r="K729" s="1">
        <f t="shared" si="59"/>
        <v>0</v>
      </c>
      <c r="L729" s="1">
        <f t="shared" si="59"/>
        <v>0</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3" t="s">
        <v>602</v>
      </c>
      <c r="C730" s="1">
        <f t="shared" ref="C730:E730" si="60">C710+C711+C712+C713+C714</f>
        <v>374.80342280488844</v>
      </c>
      <c r="D730" s="1"/>
      <c r="E730" s="1">
        <f t="shared" si="60"/>
        <v>330.57290872199138</v>
      </c>
      <c r="F730" s="1">
        <f t="shared" ref="F730:I730" si="61">F710+F711+F712+F713+F714</f>
        <v>309.31912390891819</v>
      </c>
      <c r="G730" s="1">
        <f t="shared" si="61"/>
        <v>304.49358188134187</v>
      </c>
      <c r="H730" s="1">
        <f t="shared" si="61"/>
        <v>261.33918676265313</v>
      </c>
      <c r="I730" s="1">
        <f t="shared" si="61"/>
        <v>241.53979968389743</v>
      </c>
      <c r="J730" s="1">
        <f>J710+J711+J712+J713+J714</f>
        <v>224.91944151445836</v>
      </c>
      <c r="K730" s="1">
        <f>K710+K711+K712+K713+K714</f>
        <v>217.00545069572507</v>
      </c>
      <c r="L730" s="1">
        <f>L710+L711+L712+L713+L714</f>
        <v>119.78612796103172</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3" t="s">
        <v>89</v>
      </c>
      <c r="C731" s="1">
        <f t="shared" ref="C731:E733" si="62">C715</f>
        <v>1.8425501999999998</v>
      </c>
      <c r="D731" s="1"/>
      <c r="E731" s="1">
        <f t="shared" si="62"/>
        <v>0</v>
      </c>
      <c r="F731" s="1">
        <f t="shared" ref="F731:I733" si="63">F715</f>
        <v>0</v>
      </c>
      <c r="G731" s="1">
        <f t="shared" si="63"/>
        <v>0</v>
      </c>
      <c r="H731" s="1">
        <f t="shared" si="63"/>
        <v>0</v>
      </c>
      <c r="I731" s="1">
        <f t="shared" si="63"/>
        <v>0</v>
      </c>
      <c r="J731" s="1">
        <f t="shared" ref="J731:L733" si="64">J715</f>
        <v>9.444000000000001E-3</v>
      </c>
      <c r="K731" s="1">
        <f t="shared" si="64"/>
        <v>0</v>
      </c>
      <c r="L731" s="1">
        <f t="shared" si="64"/>
        <v>0</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3" t="s">
        <v>91</v>
      </c>
      <c r="C732" s="1">
        <f t="shared" si="62"/>
        <v>0</v>
      </c>
      <c r="D732" s="1"/>
      <c r="E732" s="1">
        <f t="shared" si="62"/>
        <v>0</v>
      </c>
      <c r="F732" s="1">
        <f t="shared" si="63"/>
        <v>0</v>
      </c>
      <c r="G732" s="1">
        <f t="shared" si="63"/>
        <v>0</v>
      </c>
      <c r="H732" s="1">
        <f t="shared" si="63"/>
        <v>0</v>
      </c>
      <c r="I732" s="1">
        <f t="shared" si="63"/>
        <v>0</v>
      </c>
      <c r="J732" s="1">
        <f t="shared" si="64"/>
        <v>0</v>
      </c>
      <c r="K732" s="1">
        <f t="shared" si="64"/>
        <v>0</v>
      </c>
      <c r="L732" s="1">
        <f t="shared" si="64"/>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3" t="s">
        <v>92</v>
      </c>
      <c r="C733" s="1">
        <f t="shared" si="62"/>
        <v>0</v>
      </c>
      <c r="D733" s="1"/>
      <c r="E733" s="1">
        <f t="shared" si="62"/>
        <v>0</v>
      </c>
      <c r="F733" s="1">
        <f t="shared" si="63"/>
        <v>0</v>
      </c>
      <c r="G733" s="1">
        <f t="shared" si="63"/>
        <v>0</v>
      </c>
      <c r="H733" s="1">
        <f t="shared" si="63"/>
        <v>0</v>
      </c>
      <c r="I733" s="1">
        <f t="shared" si="63"/>
        <v>0</v>
      </c>
      <c r="J733" s="1">
        <f t="shared" si="64"/>
        <v>0</v>
      </c>
      <c r="K733" s="1">
        <f t="shared" si="64"/>
        <v>0</v>
      </c>
      <c r="L733" s="1">
        <f t="shared" si="64"/>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3" t="s">
        <v>603</v>
      </c>
      <c r="C734" s="1">
        <f t="shared" ref="C734:E734" si="65">C718+C719+C720+C721</f>
        <v>0</v>
      </c>
      <c r="D734" s="1"/>
      <c r="E734" s="1">
        <f t="shared" si="65"/>
        <v>0</v>
      </c>
      <c r="F734" s="1">
        <f t="shared" ref="F734:I734" si="66">F718+F719+F720+F721</f>
        <v>0</v>
      </c>
      <c r="G734" s="1">
        <f t="shared" si="66"/>
        <v>0</v>
      </c>
      <c r="H734" s="1">
        <f t="shared" si="66"/>
        <v>0</v>
      </c>
      <c r="I734" s="1">
        <f t="shared" si="66"/>
        <v>0</v>
      </c>
      <c r="J734" s="1">
        <f>J718+J719+J720+J721</f>
        <v>0</v>
      </c>
      <c r="K734" s="1">
        <f>K718+K719+K720+K721</f>
        <v>0</v>
      </c>
      <c r="L734" s="1">
        <f>L718+L719+L720+L721</f>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639</v>
      </c>
      <c r="C735" s="24">
        <f>IF('E1990'!$I$81&lt;0,'E1990'!$I$81*'E1990'!$I$89,0)/1000</f>
        <v>0</v>
      </c>
      <c r="D735" s="24"/>
      <c r="E735" s="24">
        <f>IF('E2007'!$I$81&lt;0,'E2007'!$I$81*'E2007'!$I$89,0)/1000</f>
        <v>0</v>
      </c>
      <c r="F735" s="24">
        <f>IF('E2009'!$I$81&lt;0,'E2009'!$I$81*'E2009'!$I$89,0)/1000</f>
        <v>0</v>
      </c>
      <c r="G735" s="24">
        <f>IF('E2011'!$I$81&lt;0,'E2011'!$I$81*'E2011'!$I$89,0)/1000</f>
        <v>0</v>
      </c>
      <c r="H735" s="24">
        <f>IF('E2013'!$I$81&lt;0,'E2013'!$I$81*'E2013'!$I$89,0)/1000</f>
        <v>0</v>
      </c>
      <c r="I735" s="24">
        <f>IF('E2015'!$I$81&lt;0,'E2015'!$I$81*'E2015'!$I$89,0)/1000</f>
        <v>0</v>
      </c>
      <c r="J735" s="24">
        <f>IF('E2017'!$I$81&lt;0,'E2017'!$I$81*'E2017'!$I$89,0)/1000</f>
        <v>0</v>
      </c>
      <c r="K735" s="24">
        <f>IF('E2018'!$I$81&lt;0,'E2018'!$I$81*'E2018'!$I$89,0)/1000</f>
        <v>0</v>
      </c>
      <c r="L735" s="24">
        <f>IF('E2020'!$I$81&lt;0,'E2020'!$I$81*'E2020'!$I$89,0)/1000</f>
        <v>-10.369319082106047</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80" t="s">
        <v>98</v>
      </c>
      <c r="C736" s="681">
        <f t="shared" ref="C736:E736" si="67">SUM(C728:C734)</f>
        <v>570.18091614785499</v>
      </c>
      <c r="D736" s="681"/>
      <c r="E736" s="681">
        <f t="shared" si="67"/>
        <v>338.39058344996772</v>
      </c>
      <c r="F736" s="681">
        <f t="shared" ref="F736:I736" si="68">SUM(F728:F734)</f>
        <v>400.65797068883694</v>
      </c>
      <c r="G736" s="681">
        <f t="shared" si="68"/>
        <v>353.73393489616979</v>
      </c>
      <c r="H736" s="681">
        <f t="shared" si="68"/>
        <v>285.5327251514264</v>
      </c>
      <c r="I736" s="681">
        <f t="shared" si="68"/>
        <v>208.65503306260229</v>
      </c>
      <c r="J736" s="681">
        <f>SUM(J728:J734)</f>
        <v>203.97963182658944</v>
      </c>
      <c r="K736" s="681">
        <f>SUM(K728:K734)</f>
        <v>200.62338830268584</v>
      </c>
      <c r="L736" s="681">
        <f>SUM(L728:L734)</f>
        <v>117.98182838522315</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8"/>
      <c r="C737" s="659"/>
      <c r="D737" s="659"/>
      <c r="E737" s="659"/>
      <c r="F737" s="659"/>
      <c r="G737" s="659"/>
      <c r="H737" s="659"/>
      <c r="I737" s="659"/>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621</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619</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3" t="s">
        <v>121</v>
      </c>
      <c r="C797" s="654" t="s">
        <v>622</v>
      </c>
      <c r="D797" s="654"/>
      <c r="E797" s="654" t="s">
        <v>622</v>
      </c>
      <c r="F797" s="654" t="s">
        <v>622</v>
      </c>
      <c r="G797" s="654" t="s">
        <v>622</v>
      </c>
      <c r="H797" s="654" t="s">
        <v>623</v>
      </c>
      <c r="I797" s="654" t="s">
        <v>624</v>
      </c>
      <c r="J797" s="654" t="s">
        <v>625</v>
      </c>
      <c r="K797" s="654" t="s">
        <v>626</v>
      </c>
      <c r="L797" s="654" t="s">
        <v>627</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6"/>
      <c r="C798" s="664">
        <f t="shared" ref="C798:E798" si="69">C727</f>
        <v>1990</v>
      </c>
      <c r="D798" s="664" t="s">
        <v>610</v>
      </c>
      <c r="E798" s="664">
        <f t="shared" si="69"/>
        <v>2007</v>
      </c>
      <c r="F798" s="664">
        <f t="shared" ref="F798:I798" si="70">F727</f>
        <v>2009</v>
      </c>
      <c r="G798" s="664">
        <f t="shared" si="70"/>
        <v>2011</v>
      </c>
      <c r="H798" s="664">
        <f t="shared" si="70"/>
        <v>2013</v>
      </c>
      <c r="I798" s="664">
        <f t="shared" si="70"/>
        <v>2015</v>
      </c>
      <c r="J798" s="664">
        <f>J727</f>
        <v>2017</v>
      </c>
      <c r="K798" s="664">
        <f>K727</f>
        <v>2018</v>
      </c>
      <c r="L798" s="664">
        <f>L727</f>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6" t="s">
        <v>10</v>
      </c>
      <c r="C799" s="665">
        <f>C728/'E1990'!$D$1*1000</f>
        <v>3.5348654573121574</v>
      </c>
      <c r="D799" s="665"/>
      <c r="E799" s="665">
        <f>E728/'E2007'!$D$1*1000</f>
        <v>0.16170930680076778</v>
      </c>
      <c r="F799" s="665">
        <f>F728/'E2009'!$D$1*1000</f>
        <v>1.8910734322964546</v>
      </c>
      <c r="G799" s="665">
        <f>G728/'E2011'!$D$1*1000</f>
        <v>1.0261399786360172</v>
      </c>
      <c r="H799" s="665">
        <f>H728/'E2013'!$D$1*1000</f>
        <v>0.51158864030731566</v>
      </c>
      <c r="I799" s="665">
        <f>I728/'E2015'!$D$1*1000</f>
        <v>-0.70506135420113525</v>
      </c>
      <c r="J799" s="665">
        <f>J728/'E2017'!$D$1*1000</f>
        <v>-0.45013437232206516</v>
      </c>
      <c r="K799" s="665">
        <f>K728/'E2018'!$D$1*1000</f>
        <v>-0.35155394736022744</v>
      </c>
      <c r="L799" s="665">
        <f>L728/'E2020'!$D$1*1000</f>
        <v>-3.935136803578039E-2</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6" t="s">
        <v>83</v>
      </c>
      <c r="C800" s="665">
        <f>C729/'E1990'!$D$1*1000</f>
        <v>0.51983574616077588</v>
      </c>
      <c r="D800" s="665"/>
      <c r="E800" s="665">
        <f>E729/'E2007'!$D$1*1000</f>
        <v>0</v>
      </c>
      <c r="F800" s="665">
        <f>F729/'E2009'!$D$1*1000</f>
        <v>0</v>
      </c>
      <c r="G800" s="665">
        <f>G729/'E2011'!$D$1*1000</f>
        <v>0</v>
      </c>
      <c r="H800" s="665">
        <f>H729/'E2013'!$D$1*1000</f>
        <v>0</v>
      </c>
      <c r="I800" s="665">
        <f>I729/'E2015'!$D$1*1000</f>
        <v>0</v>
      </c>
      <c r="J800" s="665">
        <f>J729/'E2017'!$D$1*1000</f>
        <v>0</v>
      </c>
      <c r="K800" s="665">
        <f>K729/'E2018'!$D$1*1000</f>
        <v>0</v>
      </c>
      <c r="L800" s="665">
        <f>L729/'E2020'!$D$1*1000</f>
        <v>0</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6" t="s">
        <v>602</v>
      </c>
      <c r="C801" s="665">
        <f>C730/'E1990'!$D$1*1000</f>
        <v>7.8524108609685213</v>
      </c>
      <c r="D801" s="665"/>
      <c r="E801" s="665">
        <f>E730/'E2007'!$D$1*1000</f>
        <v>6.8379304302910677</v>
      </c>
      <c r="F801" s="665">
        <f>F730/'E2009'!$D$1*1000</f>
        <v>6.4041226482177676</v>
      </c>
      <c r="G801" s="665">
        <f>G730/'E2011'!$D$1*1000</f>
        <v>6.3454670504176613</v>
      </c>
      <c r="H801" s="665">
        <f>H730/'E2013'!$D$1*1000</f>
        <v>5.5261928646603611</v>
      </c>
      <c r="I801" s="665">
        <f>I730/'E2015'!$D$1*1000</f>
        <v>5.1787011359940278</v>
      </c>
      <c r="J801" s="665">
        <f>J730/'E2017'!$D$1*1000</f>
        <v>4.8328199723777034</v>
      </c>
      <c r="K801" s="665">
        <f>K730/'E2018'!$D$1*1000</f>
        <v>4.6568692610512041</v>
      </c>
      <c r="L801" s="665">
        <f>L730/'E2020'!$D$1*1000</f>
        <v>2.6125085158673031</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6" t="s">
        <v>89</v>
      </c>
      <c r="C802" s="665">
        <f>C731/'E1990'!$D$1*1000</f>
        <v>3.8602799019505141E-2</v>
      </c>
      <c r="D802" s="665"/>
      <c r="E802" s="665">
        <f>E731/'E2007'!$D$1*1000</f>
        <v>0</v>
      </c>
      <c r="F802" s="665">
        <f>F731/'E2009'!$D$1*1000</f>
        <v>0</v>
      </c>
      <c r="G802" s="665">
        <f>G731/'E2011'!$D$1*1000</f>
        <v>0</v>
      </c>
      <c r="H802" s="665">
        <f>H731/'E2013'!$D$1*1000</f>
        <v>0</v>
      </c>
      <c r="I802" s="665">
        <f>I731/'E2015'!$D$1*1000</f>
        <v>0</v>
      </c>
      <c r="J802" s="665">
        <f>J731/'E2017'!$D$1*1000</f>
        <v>2.0292221744735712E-4</v>
      </c>
      <c r="K802" s="665">
        <f>K731/'E2018'!$D$1*1000</f>
        <v>0</v>
      </c>
      <c r="L802" s="665">
        <f>L731/'E2020'!$D$1*1000</f>
        <v>0</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6" t="s">
        <v>91</v>
      </c>
      <c r="C803" s="665">
        <f>C732/'E1990'!$D$1*1000</f>
        <v>0</v>
      </c>
      <c r="D803" s="665"/>
      <c r="E803" s="665">
        <f>E732/'E2007'!$D$1*1000</f>
        <v>0</v>
      </c>
      <c r="F803" s="665">
        <f>F732/'E2009'!$D$1*1000</f>
        <v>0</v>
      </c>
      <c r="G803" s="665">
        <f>G732/'E2011'!$D$1*1000</f>
        <v>0</v>
      </c>
      <c r="H803" s="665">
        <f>H732/'E2013'!$D$1*1000</f>
        <v>0</v>
      </c>
      <c r="I803" s="665">
        <f>I732/'E2015'!$D$1*1000</f>
        <v>0</v>
      </c>
      <c r="J803" s="665">
        <f>J732/'E2017'!$D$1*1000</f>
        <v>0</v>
      </c>
      <c r="K803" s="665">
        <f>K732/'E2018'!$D$1*1000</f>
        <v>0</v>
      </c>
      <c r="L803" s="665">
        <f>L732/'E2020'!$D$1*1000</f>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6" t="s">
        <v>92</v>
      </c>
      <c r="C804" s="665">
        <f>C733/'E1990'!$D$1*1000</f>
        <v>0</v>
      </c>
      <c r="D804" s="665"/>
      <c r="E804" s="665">
        <f>E733/'E2007'!$D$1*1000</f>
        <v>0</v>
      </c>
      <c r="F804" s="665">
        <f>F733/'E2009'!$D$1*1000</f>
        <v>0</v>
      </c>
      <c r="G804" s="665">
        <f>G733/'E2011'!$D$1*1000</f>
        <v>0</v>
      </c>
      <c r="H804" s="665">
        <f>H733/'E2013'!$D$1*1000</f>
        <v>0</v>
      </c>
      <c r="I804" s="665">
        <f>I733/'E2015'!$D$1*1000</f>
        <v>0</v>
      </c>
      <c r="J804" s="665">
        <f>J733/'E2017'!$D$1*1000</f>
        <v>0</v>
      </c>
      <c r="K804" s="665">
        <f>K733/'E2018'!$D$1*1000</f>
        <v>0</v>
      </c>
      <c r="L804" s="665">
        <f>L733/'E2020'!$D$1*1000</f>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6" t="s">
        <v>603</v>
      </c>
      <c r="C805" s="665">
        <f>C734/'E1990'!$D$1*1000</f>
        <v>0</v>
      </c>
      <c r="D805" s="665"/>
      <c r="E805" s="665">
        <f>E734/'E2007'!$D$1*1000</f>
        <v>0</v>
      </c>
      <c r="F805" s="665">
        <f>F734/'E2009'!$D$1*1000</f>
        <v>0</v>
      </c>
      <c r="G805" s="665">
        <f>G734/'E2011'!$D$1*1000</f>
        <v>0</v>
      </c>
      <c r="H805" s="665">
        <f>H734/'E2013'!$D$1*1000</f>
        <v>0</v>
      </c>
      <c r="I805" s="665">
        <f>I734/'E2015'!$D$1*1000</f>
        <v>0</v>
      </c>
      <c r="J805" s="665">
        <f>J734/'E2017'!$D$1*1000</f>
        <v>0</v>
      </c>
      <c r="K805" s="665">
        <f>K734/'E2018'!$D$1*1000</f>
        <v>0</v>
      </c>
      <c r="L805" s="665">
        <f>L734/'E2020'!$D$1*1000</f>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6" t="s">
        <v>98</v>
      </c>
      <c r="C806" s="666">
        <f t="shared" ref="C806" si="71">SUM(C799:C805)</f>
        <v>11.94571486346096</v>
      </c>
      <c r="D806" s="666"/>
      <c r="E806" s="666">
        <f t="shared" ref="E806" si="72">SUM(E799:E805)</f>
        <v>6.9996397370918357</v>
      </c>
      <c r="F806" s="666">
        <f t="shared" ref="F806:I806" si="73">SUM(F799:F805)</f>
        <v>8.2951960805142217</v>
      </c>
      <c r="G806" s="666">
        <f t="shared" si="73"/>
        <v>7.3716070290536786</v>
      </c>
      <c r="H806" s="666">
        <f t="shared" si="73"/>
        <v>6.0377815049676764</v>
      </c>
      <c r="I806" s="666">
        <f t="shared" si="73"/>
        <v>4.4736397817928921</v>
      </c>
      <c r="J806" s="666">
        <f>SUM(J799:J805)</f>
        <v>4.3828885222730856</v>
      </c>
      <c r="K806" s="666">
        <f>SUM(K799:K805)</f>
        <v>4.3053153136909765</v>
      </c>
      <c r="L806" s="666">
        <f>SUM(L799:L805)</f>
        <v>2.5731571478315227</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122</v>
      </c>
      <c r="H864" s="76" t="s">
        <v>179</v>
      </c>
      <c r="I864" s="76" t="s">
        <v>179</v>
      </c>
      <c r="J864" s="76" t="s">
        <v>179</v>
      </c>
      <c r="K864" s="76" t="s">
        <v>179</v>
      </c>
      <c r="L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9"/>
      <c r="C865" s="69">
        <v>1990</v>
      </c>
      <c r="D865" s="69" t="s">
        <v>610</v>
      </c>
      <c r="E865" s="69">
        <v>2007</v>
      </c>
      <c r="F865" s="69">
        <v>2009</v>
      </c>
      <c r="G865" s="69">
        <v>2011</v>
      </c>
      <c r="H865" s="69">
        <v>2013</v>
      </c>
      <c r="I865" s="69">
        <v>2015</v>
      </c>
      <c r="J865" s="69">
        <v>2017</v>
      </c>
      <c r="K865" s="69">
        <v>2018</v>
      </c>
      <c r="L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90" t="s">
        <v>107</v>
      </c>
      <c r="C866" s="104">
        <f>('E1990'!$AA$14*'E1990'!$E$89+MAX(0,('E1990'!$I$15)*(('E1990'!$I$82*1000)/('E1990'!$I$81-'E1990'!$I$27))))/1000</f>
        <v>160.07237699999999</v>
      </c>
      <c r="D866" s="104"/>
      <c r="E866" s="104">
        <f>('E2007'!$AA$14*'E2007'!$E$89+MAX(0,('E2007'!$I$15)*(('E2007'!$I$82*1000)/('E2007'!$I$81-'E2007'!$I$27))))/1000</f>
        <v>53.593780665885596</v>
      </c>
      <c r="F866" s="104">
        <f>('E2009'!$AA$14*'E2009'!$E$89+MAX(0,('E2009'!$I$15)*(('E2009'!$I$82*1000)/('E2009'!$I$81-'E2009'!$I$27))))/1000</f>
        <v>53.351249999999993</v>
      </c>
      <c r="G866" s="104">
        <f>('E2011'!$AA$14*'E2011'!$E$89+MAX(0,('E2011'!$I$15)*(('E2011'!$I$82*1000)/('E2011'!$I$81-'E2011'!$I$27))))/1000</f>
        <v>41.024910000000006</v>
      </c>
      <c r="H866" s="104">
        <f>('E2013'!$AA$14*'E2013'!$E$89+MAX(0,('E2013'!$I$15)*(('E2013'!$I$82*1000)/('E2013'!$I$81-'E2013'!$I$27))))/1000</f>
        <v>39.659070000000007</v>
      </c>
      <c r="I866" s="104">
        <f>('E2015'!$AA$14*'E2015'!$E$89+MAX(0,('E2015'!$I$15)*(('E2015'!$I$82*1000)/('E2015'!$I$81-'E2015'!$I$27))))/1000</f>
        <v>32.523236366341173</v>
      </c>
      <c r="J866" s="104">
        <f>('E2017'!$AA$14*'E2017'!$E$89+MAX(0,('E2017'!$I$15)*(('E2017'!$I$82*1000)/('E2017'!$I$81-'E2017'!$I$27))))/1000</f>
        <v>23.827111097286142</v>
      </c>
      <c r="K866" s="104">
        <f>('E2018'!$AA$14*'E2018'!$E$89+MAX(0,('E2018'!$I$15)*(('E2018'!$I$82*1000)/('E2018'!$I$81-'E2018'!$I$27))))/1000</f>
        <v>23.329225925970388</v>
      </c>
      <c r="L866" s="104">
        <f>('E2020'!$AA$14*'E2020'!$E$89+MAX(0,('E2020'!$I$15)*(('E2020'!$I$82*1000)/('E2020'!$I$81-'E2020'!$I$27))))/1000</f>
        <v>10.348065</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90" t="s">
        <v>108</v>
      </c>
      <c r="C867" s="24">
        <f>(SUM('E1990'!$B$29:$B$51)*'E1990'!$B$89+SUM('E1990'!$C$29:$C$51)*'E1990'!$C$89+SUM('E1990'!$D$29:$D$51)*'E1990'!$D$89+SUM('E1990'!$E$29:$E$51)*'E1990'!$E$89+SUM('E1990'!$F$29:$F$51)*'E1990'!$F$89+SUM('E1990'!$G$29:$G$51)*'E1990'!$G$89+SUM('E1990'!$H$29:$H$51)*'E1990'!$H$89+MAX(0,SUM('E1990'!$I$29:$I$51)*(('E1990'!$I$82*1000)/('E1990'!$I$81-'E1990'!$I$27)))+SUM('E1990'!$Z$29:$Z$51)*'E1990'!$Z$89)/1000</f>
        <v>38.458482199999999</v>
      </c>
      <c r="D867" s="24"/>
      <c r="E867" s="24">
        <f>(SUM('E2007'!$B$29:$B$51)*'E2007'!$B$89+SUM('E2007'!$C$29:$C$51)*'E2007'!$C$89+SUM('E2007'!$D$29:$D$51)*'E2007'!$D$89+SUM('E2007'!$E$29:$E$51)*'E2007'!$E$89+SUM('E2007'!$F$29:$F$51)*'E2007'!$F$89+SUM('E2007'!$G$29:$G$51)*'E2007'!$G$89+SUM('E2007'!$H$29:$H$51)*'E2007'!$H$89+MAX(0,SUM('E2007'!$I$29:$I$51)*(('E2007'!$I$82*1000)/('E2007'!$I$81-'E2007'!$I$27)))+SUM('E2007'!$Z$29:$Z$51)*'E2007'!$Z$89)/1000</f>
        <v>40.496790000000004</v>
      </c>
      <c r="F867" s="24">
        <f>(SUM('E2009'!$B$29:$B$51)*'E2009'!$B$89+SUM('E2009'!$C$29:$C$51)*'E2009'!$C$89+SUM('E2009'!$D$29:$D$51)*'E2009'!$D$89+SUM('E2009'!$E$29:$E$51)*'E2009'!$E$89+SUM('E2009'!$F$29:$F$51)*'E2009'!$F$89+SUM('E2009'!$G$29:$G$51)*'E2009'!$G$89+SUM('E2009'!$H$29:$H$51)*'E2009'!$H$89+MAX(0,SUM('E2009'!$I$29:$I$51)*(('E2009'!$I$82*1000)/('E2009'!$I$81-'E2009'!$I$27)))+SUM('E2009'!$Z$29:$Z$51)*'E2009'!$Z$89)/1000</f>
        <v>18.068023999999998</v>
      </c>
      <c r="G867" s="24">
        <f>(SUM('E2011'!$B$29:$B$51)*'E2011'!$B$89+SUM('E2011'!$C$29:$C$51)*'E2011'!$C$89+SUM('E2011'!$D$29:$D$51)*'E2011'!$D$89+SUM('E2011'!$E$29:$E$51)*'E2011'!$E$89+SUM('E2011'!$F$29:$F$51)*'E2011'!$F$89+SUM('E2011'!$G$29:$G$51)*'E2011'!$G$89+SUM('E2011'!$H$29:$H$51)*'E2011'!$H$89+MAX(0,SUM('E2011'!$I$29:$I$51)*(('E2011'!$I$82*1000)/('E2011'!$I$81-'E2011'!$I$27)))+SUM('E2011'!$Z$29:$Z$51)*'E2011'!$Z$89)/1000</f>
        <v>24.343359000000003</v>
      </c>
      <c r="H867" s="24">
        <f>(SUM('E2013'!$B$29:$B$51)*'E2013'!$B$89+SUM('E2013'!$C$29:$C$51)*'E2013'!$C$89+SUM('E2013'!$D$29:$D$51)*'E2013'!$D$89+SUM('E2013'!$E$29:$E$51)*'E2013'!$E$89+SUM('E2013'!$F$29:$F$51)*'E2013'!$F$89+SUM('E2013'!$G$29:$G$51)*'E2013'!$G$89+SUM('E2013'!$H$29:$H$51)*'E2013'!$H$89+MAX(0,SUM('E2013'!$I$29:$I$51)*(('E2013'!$I$82*1000)/('E2013'!$I$81-'E2013'!$I$27)))+SUM('E2013'!$Z$29:$Z$51)*'E2013'!$Z$89)/1000</f>
        <v>14.736032999999999</v>
      </c>
      <c r="I867" s="24">
        <f>(SUM('E2015'!$B$29:$B$51)*'E2015'!$B$89+SUM('E2015'!$C$29:$C$51)*'E2015'!$C$89+SUM('E2015'!$D$29:$D$51)*'E2015'!$D$89+SUM('E2015'!$E$29:$E$51)*'E2015'!$E$89+SUM('E2015'!$F$29:$F$51)*'E2015'!$F$89+SUM('E2015'!$G$29:$G$51)*'E2015'!$G$89+SUM('E2015'!$H$29:$H$51)*'E2015'!$H$89+MAX(0,SUM('E2015'!$I$29:$I$51)*(('E2015'!$I$82*1000)/('E2015'!$I$81-'E2015'!$I$27)))+SUM('E2015'!$Z$29:$Z$51)*'E2015'!$Z$89)/1000</f>
        <v>8.5229659213889288</v>
      </c>
      <c r="J867" s="24">
        <f>(SUM('E2017'!$B$29:$B$51)*'E2017'!$B$89+SUM('E2017'!$C$29:$C$51)*'E2017'!$C$89+SUM('E2017'!$D$29:$D$51)*'E2017'!$D$89+SUM('E2017'!$E$29:$E$51)*'E2017'!$E$89+SUM('E2017'!$F$29:$F$51)*'E2017'!$F$89+SUM('E2017'!$G$29:$G$51)*'E2017'!$G$89+SUM('E2017'!$H$29:$H$51)*'E2017'!$H$89+MAX(0,SUM('E2017'!$I$29:$I$51)*(('E2017'!$I$82*1000)/('E2017'!$I$81-'E2017'!$I$27)))+SUM('E2017'!$Z$29:$Z$51)*'E2017'!$Z$89)/1000</f>
        <v>8.245915521214549</v>
      </c>
      <c r="K867" s="24">
        <f>(SUM('E2018'!$B$29:$B$51)*'E2018'!$B$89+SUM('E2018'!$C$29:$C$51)*'E2018'!$C$89+SUM('E2018'!$D$29:$D$51)*'E2018'!$D$89+SUM('E2018'!$E$29:$E$51)*'E2018'!$E$89+SUM('E2018'!$F$29:$F$51)*'E2018'!$F$89+SUM('E2018'!$G$29:$G$51)*'E2018'!$G$89+SUM('E2018'!$H$29:$H$51)*'E2018'!$H$89+MAX(0,SUM('E2018'!$I$29:$I$51)*(('E2018'!$I$82*1000)/('E2018'!$I$81-'E2018'!$I$27)))+SUM('E2018'!$Z$29:$Z$51)*'E2018'!$Z$89)/1000</f>
        <v>8.8139320868568092</v>
      </c>
      <c r="L867" s="24">
        <f>(SUM('E2020'!$B$29:$B$51)*'E2020'!$B$89+SUM('E2020'!$C$29:$C$51)*'E2020'!$C$89+SUM('E2020'!$D$29:$D$51)*'E2020'!$D$89+SUM('E2020'!$E$29:$E$51)*'E2020'!$E$89+SUM('E2020'!$F$29:$F$51)*'E2020'!$F$89+SUM('E2020'!$G$29:$G$51)*'E2020'!$G$89+SUM('E2020'!$H$29:$H$51)*'E2020'!$H$89+MAX(0,SUM('E2020'!$I$29:$I$51)*(('E2020'!$I$82*1000)/('E2020'!$I$81-'E2020'!$I$27)))+SUM('E2020'!$Z$29:$Z$51)*'E2020'!$Z$89)/1000</f>
        <v>1.482E-3</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90" t="s">
        <v>109</v>
      </c>
      <c r="C868" s="24">
        <f>(
SUM('E1990'!$B$52:$B$60,'E1990'!$B$21:$B$22,'E1990'!$B$20,'E1990'!$B$13)*'E1990'!$B$89+
SUM('E1990'!$C$52:$C$60,'E1990'!$C$21:$C$22,'E1990'!$C$20,'E1990'!$C$13)*'E1990'!$C$89+
SUM('E1990'!$D$52:$D$60,'E1990'!$D$21:$D$22,'E1990'!$D$20,'E1990'!$D$13)*'E1990'!$D$89+
SUM('E1990'!$E$52:$E$60,'E1990'!$E$21:$E$22,'E1990'!$E$20,'E1990'!$E$13)*'E1990'!$E$89+
SUM('E1990'!$F$52:$F$60,'E1990'!$F$21:$F$22,'E1990'!$F$20,'E1990'!$F$13)*'E1990'!$F$89+
SUM('E1990'!$G$52:$G$60,'E1990'!$G$21:$G$22,'E1990'!$G$20,'E1990'!$G$13)*'E1990'!$G$89+
SUM('E1990'!$H$52:$H$60,'E1990'!$H$21:$H$22,'E1990'!$H$20,'E1990'!$H$13)*'E1990'!$H$89+
MAX(0,('E1990'!$I$13+'E1990'!$I$21+SUM('E1990'!$I$52:$I$60))*(('E1990'!$I$82*1000)/('E1990'!$I$81-'E1990'!$I$27)))+
SUM('E1990'!$Z$52:$Z$60,'E1990'!$Z$21:$Z$22,'E1990'!$Z$20,'E1990'!$Z$13)*'E1990'!$Z$89
)/1000</f>
        <v>69.785547300000005</v>
      </c>
      <c r="D868" s="24"/>
      <c r="E868" s="24">
        <f>(
SUM('E2007'!$B$52:$B$60,'E2007'!$B$21:$B$22,'E2007'!$B$20,'E2007'!$B$13)*'E2007'!$B$89+
SUM('E2007'!$C$52:$C$60,'E2007'!$C$21:$C$22,'E2007'!$C$20,'E2007'!$C$13)*'E2007'!$C$89+
SUM('E2007'!$D$52:$D$60,'E2007'!$D$21:$D$22,'E2007'!$D$20,'E2007'!$D$13)*'E2007'!$D$89+
SUM('E2007'!$E$52:$E$60,'E2007'!$E$21:$E$22,'E2007'!$E$20,'E2007'!$E$13)*'E2007'!$E$89+
SUM('E2007'!$F$52:$F$60,'E2007'!$F$21:$F$22,'E2007'!$F$20,'E2007'!$F$13)*'E2007'!$F$89+
SUM('E2007'!$G$52:$G$60,'E2007'!$G$21:$G$22,'E2007'!$G$20,'E2007'!$G$13)*'E2007'!$G$89+
SUM('E2007'!$H$52:$H$60,'E2007'!$H$21:$H$22,'E2007'!$H$20,'E2007'!$H$13)*'E2007'!$H$89+
MAX(0,('E2007'!$I$13+'E2007'!$I$21+SUM('E2007'!$I$52:$I$60))*(('E2007'!$I$82*1000)/('E2007'!$I$81-'E2007'!$I$27)))+
SUM('E2007'!$Z$52:$Z$60,'E2007'!$Z$21:$Z$22,'E2007'!$Z$20,'E2007'!$Z$13)*'E2007'!$Z$89
)/1000</f>
        <v>46.9747509650024</v>
      </c>
      <c r="F868" s="24">
        <f>(
SUM('E2009'!$B$52:$B$60,'E2009'!$B$21:$B$22,'E2009'!$B$20,'E2009'!$B$13)*'E2009'!$B$89+
SUM('E2009'!$C$52:$C$60,'E2009'!$C$21:$C$22,'E2009'!$C$20,'E2009'!$C$13)*'E2009'!$C$89+
SUM('E2009'!$D$52:$D$60,'E2009'!$D$21:$D$22,'E2009'!$D$20,'E2009'!$D$13)*'E2009'!$D$89+
SUM('E2009'!$E$52:$E$60,'E2009'!$E$21:$E$22,'E2009'!$E$20,'E2009'!$E$13)*'E2009'!$E$89+
SUM('E2009'!$F$52:$F$60,'E2009'!$F$21:$F$22,'E2009'!$F$20,'E2009'!$F$13)*'E2009'!$F$89+
SUM('E2009'!$G$52:$G$60,'E2009'!$G$21:$G$22,'E2009'!$G$20,'E2009'!$G$13)*'E2009'!$G$89+
SUM('E2009'!$H$52:$H$60,'E2009'!$H$21:$H$22,'E2009'!$H$20,'E2009'!$H$13)*'E2009'!$H$89+
MAX(0,('E2009'!$I$13+'E2009'!$I$21+SUM('E2009'!$I$52:$I$60))*(('E2009'!$I$82*1000)/('E2009'!$I$81-'E2009'!$I$27)))+
SUM('E2009'!$Z$52:$Z$60,'E2009'!$Z$21:$Z$22,'E2009'!$Z$20,'E2009'!$Z$13)*'E2009'!$Z$89
)/1000</f>
        <v>54.888142000000002</v>
      </c>
      <c r="G868" s="24">
        <f>(
SUM('E2011'!$B$52:$B$60,'E2011'!$B$21:$B$22,'E2011'!$B$20,'E2011'!$B$13)*'E2011'!$B$89+
SUM('E2011'!$C$52:$C$60,'E2011'!$C$21:$C$22,'E2011'!$C$20,'E2011'!$C$13)*'E2011'!$C$89+
SUM('E2011'!$D$52:$D$60,'E2011'!$D$21:$D$22,'E2011'!$D$20,'E2011'!$D$13)*'E2011'!$D$89+
SUM('E2011'!$E$52:$E$60,'E2011'!$E$21:$E$22,'E2011'!$E$20,'E2011'!$E$13)*'E2011'!$E$89+
SUM('E2011'!$F$52:$F$60,'E2011'!$F$21:$F$22,'E2011'!$F$20,'E2011'!$F$13)*'E2011'!$F$89+
SUM('E2011'!$G$52:$G$60,'E2011'!$G$21:$G$22,'E2011'!$G$20,'E2011'!$G$13)*'E2011'!$G$89+
SUM('E2011'!$H$52:$H$60,'E2011'!$H$21:$H$22,'E2011'!$H$20,'E2011'!$H$13)*'E2011'!$H$89+
MAX(0,('E2011'!$I$13+'E2011'!$I$21+SUM('E2011'!$I$52:$I$60))*(('E2011'!$I$82*1000)/('E2011'!$I$81-'E2011'!$I$27)))+
SUM('E2011'!$Z$52:$Z$60,'E2011'!$Z$21:$Z$22,'E2011'!$Z$20,'E2011'!$Z$13)*'E2011'!$Z$89
)/1000</f>
        <v>56.278377000000006</v>
      </c>
      <c r="H868" s="24">
        <f>(
SUM('E2013'!$B$52:$B$60,'E2013'!$B$21:$B$22,'E2013'!$B$20,'E2013'!$B$13)*'E2013'!$B$89+
SUM('E2013'!$C$52:$C$60,'E2013'!$C$21:$C$22,'E2013'!$C$20,'E2013'!$C$13)*'E2013'!$C$89+
SUM('E2013'!$D$52:$D$60,'E2013'!$D$21:$D$22,'E2013'!$D$20,'E2013'!$D$13)*'E2013'!$D$89+
SUM('E2013'!$E$52:$E$60,'E2013'!$E$21:$E$22,'E2013'!$E$20,'E2013'!$E$13)*'E2013'!$E$89+
SUM('E2013'!$F$52:$F$60,'E2013'!$F$21:$F$22,'E2013'!$F$20,'E2013'!$F$13)*'E2013'!$F$89+
SUM('E2013'!$G$52:$G$60,'E2013'!$G$21:$G$22,'E2013'!$G$20,'E2013'!$G$13)*'E2013'!$G$89+
SUM('E2013'!$H$52:$H$60,'E2013'!$H$21:$H$22,'E2013'!$H$20,'E2013'!$H$13)*'E2013'!$H$89+
MAX(0,('E2013'!$I$13+'E2013'!$I$21+SUM('E2013'!$I$52:$I$60))*(('E2013'!$I$82*1000)/('E2013'!$I$81-'E2013'!$I$27)))+
SUM('E2013'!$Z$52:$Z$60,'E2013'!$Z$21:$Z$22,'E2013'!$Z$20,'E2013'!$Z$13)*'E2013'!$Z$89
)/1000</f>
        <v>45.861254000000002</v>
      </c>
      <c r="I868" s="24">
        <f>(
SUM('E2015'!$B$52:$B$60,'E2015'!$B$21:$B$22,'E2015'!$B$20,'E2015'!$B$13)*'E2015'!$B$89+
SUM('E2015'!$C$52:$C$60,'E2015'!$C$21:$C$22,'E2015'!$C$20,'E2015'!$C$13)*'E2015'!$C$89+
SUM('E2015'!$D$52:$D$60,'E2015'!$D$21:$D$22,'E2015'!$D$20,'E2015'!$D$13)*'E2015'!$D$89+
SUM('E2015'!$E$52:$E$60,'E2015'!$E$21:$E$22,'E2015'!$E$20,'E2015'!$E$13)*'E2015'!$E$89+
SUM('E2015'!$F$52:$F$60,'E2015'!$F$21:$F$22,'E2015'!$F$20,'E2015'!$F$13)*'E2015'!$F$89+
SUM('E2015'!$G$52:$G$60,'E2015'!$G$21:$G$22,'E2015'!$G$20,'E2015'!$G$13)*'E2015'!$G$89+
SUM('E2015'!$H$52:$H$60,'E2015'!$H$21:$H$22,'E2015'!$H$20,'E2015'!$H$13)*'E2015'!$H$89+
MAX(0,('E2015'!$I$13+'E2015'!$I$21+SUM('E2015'!$I$52:$I$60))*(('E2015'!$I$82*1000)/('E2015'!$I$81-'E2015'!$I$27)))+
SUM('E2015'!$Z$52:$Z$60,'E2015'!$Z$21:$Z$22,'E2015'!$Z$20,'E2015'!$Z$13)*'E2015'!$Z$89
)/1000</f>
        <v>42.209780678986888</v>
      </c>
      <c r="J868" s="24">
        <f>(
SUM('E2017'!$B$52:$B$60,'E2017'!$B$21:$B$22,'E2017'!$B$20,'E2017'!$B$13)*'E2017'!$B$89+
SUM('E2017'!$C$52:$C$60,'E2017'!$C$21:$C$22,'E2017'!$C$20,'E2017'!$C$13)*'E2017'!$C$89+
SUM('E2017'!$D$52:$D$60,'E2017'!$D$21:$D$22,'E2017'!$D$20,'E2017'!$D$13)*'E2017'!$D$89+
SUM('E2017'!$E$52:$E$60,'E2017'!$E$21:$E$22,'E2017'!$E$20,'E2017'!$E$13)*'E2017'!$E$89+
SUM('E2017'!$F$52:$F$60,'E2017'!$F$21:$F$22,'E2017'!$F$20,'E2017'!$F$13)*'E2017'!$F$89+
SUM('E2017'!$G$52:$G$60,'E2017'!$G$21:$G$22,'E2017'!$G$20,'E2017'!$G$13)*'E2017'!$G$89+
SUM('E2017'!$H$52:$H$60,'E2017'!$H$21:$H$22,'E2017'!$H$20,'E2017'!$H$13)*'E2017'!$H$89+
MAX(0,('E2017'!$I$13+'E2017'!$I$21+SUM('E2017'!$I$52:$I$60))*(('E2017'!$I$82*1000)/('E2017'!$I$81-'E2017'!$I$27)))+
SUM('E2017'!$Z$52:$Z$60,'E2017'!$Z$21:$Z$22,'E2017'!$Z$20,'E2017'!$Z$13)*'E2017'!$Z$89
)/1000</f>
        <v>33.843123616388795</v>
      </c>
      <c r="K868" s="24">
        <f>(
SUM('E2018'!$B$52:$B$60,'E2018'!$B$21:$B$22,'E2018'!$B$20,'E2018'!$B$13)*'E2018'!$B$89+
SUM('E2018'!$C$52:$C$60,'E2018'!$C$21:$C$22,'E2018'!$C$20,'E2018'!$C$13)*'E2018'!$C$89+
SUM('E2018'!$D$52:$D$60,'E2018'!$D$21:$D$22,'E2018'!$D$20,'E2018'!$D$13)*'E2018'!$D$89+
SUM('E2018'!$E$52:$E$60,'E2018'!$E$21:$E$22,'E2018'!$E$20,'E2018'!$E$13)*'E2018'!$E$89+
SUM('E2018'!$F$52:$F$60,'E2018'!$F$21:$F$22,'E2018'!$F$20,'E2018'!$F$13)*'E2018'!$F$89+
SUM('E2018'!$G$52:$G$60,'E2018'!$G$21:$G$22,'E2018'!$G$20,'E2018'!$G$13)*'E2018'!$G$89+
SUM('E2018'!$H$52:$H$60,'E2018'!$H$21:$H$22,'E2018'!$H$20,'E2018'!$H$13)*'E2018'!$H$89+
MAX(0,('E2018'!$I$13+'E2018'!$I$21+SUM('E2018'!$I$52:$I$60))*(('E2018'!$I$82*1000)/('E2018'!$I$81-'E2018'!$I$27)))+
SUM('E2018'!$Z$52:$Z$60,'E2018'!$Z$21:$Z$22,'E2018'!$Z$20,'E2018'!$Z$13)*'E2018'!$Z$89
)/1000</f>
        <v>32.670737615778911</v>
      </c>
      <c r="L868" s="24">
        <f>(
SUM('E2020'!$B$52:$B$60,'E2020'!$B$21:$B$22,'E2020'!$B$20,'E2020'!$B$13)*'E2020'!$B$89+
SUM('E2020'!$C$52:$C$60,'E2020'!$C$21:$C$22,'E2020'!$C$20,'E2020'!$C$13)*'E2020'!$C$89+
SUM('E2020'!$D$52:$D$60,'E2020'!$D$21:$D$22,'E2020'!$D$20,'E2020'!$D$13)*'E2020'!$D$89+
SUM('E2020'!$E$52:$E$60,'E2020'!$E$21:$E$22,'E2020'!$E$20,'E2020'!$E$13)*'E2020'!$E$89+
SUM('E2020'!$F$52:$F$60,'E2020'!$F$21:$F$22,'E2020'!$F$20,'E2020'!$F$13)*'E2020'!$F$89+
SUM('E2020'!$G$52:$G$60,'E2020'!$G$21:$G$22,'E2020'!$G$20,'E2020'!$G$13)*'E2020'!$G$89+
SUM('E2020'!$H$52:$H$60,'E2020'!$H$21:$H$22,'E2020'!$H$20,'E2020'!$H$13)*'E2020'!$H$89+
MAX(0,('E2020'!$I$13+'E2020'!$I$21+SUM('E2020'!$I$52:$I$60))*(('E2020'!$I$82*1000)/('E2020'!$I$81-'E2020'!$I$27)))+
SUM('E2020'!$Z$52:$Z$60,'E2020'!$Z$21:$Z$22,'E2020'!$Z$20,'E2020'!$Z$13)*'E2020'!$Z$89
)/1000</f>
        <v>2.3792032999999995</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90" t="s">
        <v>110</v>
      </c>
      <c r="C869" s="24">
        <f>(SUM('E1990'!$D$61:$D$80)*'E1990'!$D$89+
SUM('E1990'!$F$61:$F$80)*'E1990'!$F$89+
SUM('E1990'!$G$61:$G$80)*'E1990'!$G$89+
SUM('E1990'!$H$61:$H$80)*'E1990'!$H$89+
+MAX(0,SUM('E1990'!$I$61:$I$78)*(('E1990'!$I$82*1000)/('E1990'!$I$81-'E1990'!$I$27)))
)/1000</f>
        <v>133.14184650488849</v>
      </c>
      <c r="D869" s="24"/>
      <c r="E869" s="24">
        <f>(SUM('E2007'!$D$61:$D$80)*'E2007'!$D$89+
SUM('E2007'!$F$61:$F$80)*'E2007'!$F$89+
SUM('E2007'!$G$61:$G$80)*'E2007'!$G$89+
SUM('E2007'!$H$61:$H$80)*'E2007'!$H$89+
+MAX(0,SUM('E2007'!$I$61:$I$78)*(('E2007'!$I$82*1000)/('E2007'!$I$81-'E2007'!$I$27)))
)/1000</f>
        <v>189.50758709110337</v>
      </c>
      <c r="F869" s="24">
        <f>(SUM('E2009'!$D$61:$D$80)*'E2009'!$D$89+
SUM('E2009'!$F$61:$F$80)*'E2009'!$F$89+
SUM('E2009'!$G$61:$G$80)*'E2009'!$G$89+
SUM('E2009'!$H$61:$H$80)*'E2009'!$H$89+
+MAX(0,SUM('E2009'!$I$61:$I$78)*(('E2009'!$I$82*1000)/('E2009'!$I$81-'E2009'!$I$27)))
)/1000</f>
        <v>183.01170790891817</v>
      </c>
      <c r="G869" s="24">
        <f>(SUM('E2011'!$D$61:$D$80)*'E2011'!$D$89+
SUM('E2011'!$F$61:$F$80)*'E2011'!$F$89+
SUM('E2011'!$G$61:$G$80)*'E2011'!$G$89+
SUM('E2011'!$H$61:$H$80)*'E2011'!$H$89+
+MAX(0,SUM('E2011'!$I$61:$I$78)*(('E2011'!$I$82*1000)/('E2011'!$I$81-'E2011'!$I$27)))
)/1000</f>
        <v>182.84693588134181</v>
      </c>
      <c r="H869" s="24">
        <f>(SUM('E2013'!$D$61:$D$80)*'E2013'!$D$89+
SUM('E2013'!$F$61:$F$80)*'E2013'!$F$89+
SUM('E2013'!$G$61:$G$80)*'E2013'!$G$89+
SUM('E2013'!$H$61:$H$80)*'E2013'!$H$89+
+MAX(0,SUM('E2013'!$I$61:$I$78)*(('E2013'!$I$82*1000)/('E2013'!$I$81-'E2013'!$I$27)))
)/1000</f>
        <v>161.08282976265309</v>
      </c>
      <c r="I869" s="24">
        <f>(SUM('E2015'!$D$61:$D$80)*'E2015'!$D$89+
SUM('E2015'!$F$61:$F$80)*'E2015'!$F$89+
SUM('E2015'!$G$61:$G$80)*'E2015'!$G$89+
SUM('E2015'!$H$61:$H$80)*'E2015'!$H$89+
+MAX(0,SUM('E2015'!$I$61:$I$78)*(('E2015'!$I$82*1000)/('E2015'!$I$81-'E2015'!$I$27)))
)/1000</f>
        <v>158.28381671718046</v>
      </c>
      <c r="J869" s="24">
        <f>(SUM('E2017'!$D$61:$D$80)*'E2017'!$D$89+
SUM('E2017'!$F$61:$F$80)*'E2017'!$F$89+
SUM('E2017'!$G$61:$G$80)*'E2017'!$G$89+
SUM('E2017'!$H$61:$H$80)*'E2017'!$H$89+
+MAX(0,SUM('E2017'!$I$61:$I$78)*(('E2017'!$I$82*1000)/('E2017'!$I$81-'E2017'!$I$27)))
)/1000</f>
        <v>159.01273527956889</v>
      </c>
      <c r="K869" s="24">
        <f>(SUM('E2018'!$D$61:$D$80)*'E2018'!$D$89+
SUM('E2018'!$F$61:$F$80)*'E2018'!$F$89+
SUM('E2018'!$G$61:$G$80)*'E2018'!$G$89+
SUM('E2018'!$H$61:$H$80)*'E2018'!$H$89+
+MAX(0,SUM('E2018'!$I$61:$I$78)*(('E2018'!$I$82*1000)/('E2018'!$I$81-'E2018'!$I$27)))
)/1000</f>
        <v>152.191555067119</v>
      </c>
      <c r="L869" s="24">
        <f>(SUM('E2020'!$D$61:$D$80)*'E2020'!$D$89+
SUM('E2020'!$F$61:$F$80)*'E2020'!$F$89+
SUM('E2020'!$G$61:$G$80)*'E2020'!$G$89+
SUM('E2020'!$H$61:$H$80)*'E2020'!$H$89+
+MAX(0,SUM('E2020'!$I$61:$I$78)*(('E2020'!$I$82*1000)/('E2020'!$I$81-'E2020'!$I$27)))
)/1000</f>
        <v>117.42669674313778</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90" t="s">
        <v>639</v>
      </c>
      <c r="C870" s="24">
        <f>IF('E1990'!$I$81&lt;0,'E1990'!$I$81*'E1990'!$I$89,0)/1000</f>
        <v>0</v>
      </c>
      <c r="D870" s="24"/>
      <c r="E870" s="24">
        <f>IF('E2007'!$I$81&lt;0,'E2007'!$I$81*'E2007'!$I$89,0)/1000</f>
        <v>0</v>
      </c>
      <c r="F870" s="24">
        <f>IF('E2009'!$I$81&lt;0,'E2009'!$I$81*'E2009'!$I$89,0)/1000</f>
        <v>0</v>
      </c>
      <c r="G870" s="24">
        <f>IF('E2011'!$I$81&lt;0,'E2011'!$I$81*'E2011'!$I$89,0)/1000</f>
        <v>0</v>
      </c>
      <c r="H870" s="24">
        <f>IF('E2013'!$I$81&lt;0,'E2013'!$I$81*'E2013'!$I$89,0)/1000</f>
        <v>0</v>
      </c>
      <c r="I870" s="24">
        <f>IF('E2015'!$I$81&lt;0,'E2015'!$I$81*'E2015'!$I$89,0)/1000</f>
        <v>0</v>
      </c>
      <c r="J870" s="24">
        <f>IF('E2017'!$I$81&lt;0,'E2017'!$I$81*'E2017'!$I$89,0)/1000</f>
        <v>0</v>
      </c>
      <c r="K870" s="24">
        <f>IF('E2018'!$I$81&lt;0,'E2018'!$I$81*'E2018'!$I$89,0)/1000</f>
        <v>0</v>
      </c>
      <c r="L870" s="24">
        <f>IF('E2020'!$I$81&lt;0,'E2020'!$I$81*'E2020'!$I$89,0)/1000</f>
        <v>-10.369319082106047</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90" t="s">
        <v>111</v>
      </c>
      <c r="C871" s="24">
        <f>'E1990'!$A$82</f>
        <v>168.72266314296658</v>
      </c>
      <c r="D871" s="24"/>
      <c r="E871" s="24">
        <f>'E2007'!$A$82</f>
        <v>7.8176747279763186</v>
      </c>
      <c r="F871" s="24">
        <f>'E2009'!$A$82</f>
        <v>91.338846779918754</v>
      </c>
      <c r="G871" s="24">
        <f>'E2011'!$A$82</f>
        <v>49.240353014827917</v>
      </c>
      <c r="H871" s="24">
        <f>'E2013'!$A$82</f>
        <v>24.193538388773263</v>
      </c>
      <c r="I871" s="24">
        <f>'E2015'!$A$82</f>
        <v>-32.884766621295149</v>
      </c>
      <c r="J871" s="24">
        <f>'E2017'!$A$82</f>
        <v>-20.949253687868911</v>
      </c>
      <c r="K871" s="24">
        <f>'E2018'!$A$82</f>
        <v>-16.382062393039238</v>
      </c>
      <c r="L871" s="24">
        <f>'E2020'!$A$82</f>
        <v>-1.8042995758085667</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5" t="s">
        <v>98</v>
      </c>
      <c r="C872" s="92">
        <f t="shared" ref="C872" si="74">SUM(C866:C871)</f>
        <v>570.18091614785499</v>
      </c>
      <c r="D872" s="92"/>
      <c r="E872" s="92">
        <f t="shared" ref="E872" si="75">SUM(E866:E871)</f>
        <v>338.39058344996766</v>
      </c>
      <c r="F872" s="92">
        <f t="shared" ref="F872:I872" si="76">SUM(F866:F871)</f>
        <v>400.65797068883694</v>
      </c>
      <c r="G872" s="92">
        <f t="shared" si="76"/>
        <v>353.73393489616973</v>
      </c>
      <c r="H872" s="92">
        <f t="shared" si="76"/>
        <v>285.53272515142635</v>
      </c>
      <c r="I872" s="92">
        <f t="shared" si="76"/>
        <v>208.65503306260231</v>
      </c>
      <c r="J872" s="92">
        <f>SUM(J866:J871)</f>
        <v>203.97963182658947</v>
      </c>
      <c r="K872" s="92">
        <f>SUM(K866:K871)</f>
        <v>200.62338830268587</v>
      </c>
      <c r="L872" s="92">
        <f>SUM(L866:L871)</f>
        <v>117.98182838522315</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9"/>
      <c r="D873" s="139"/>
      <c r="E873" s="139"/>
      <c r="F873" s="139"/>
      <c r="G873" s="139"/>
      <c r="H873" s="139"/>
      <c r="I873" s="139"/>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4"/>
      <c r="C874" s="124"/>
      <c r="D874" s="124"/>
      <c r="E874" s="124"/>
      <c r="F874" s="124"/>
      <c r="G874" s="124"/>
      <c r="H874" s="124"/>
      <c r="I874" s="124"/>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5" t="s">
        <v>125</v>
      </c>
      <c r="I875" s="138"/>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5"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2" t="s">
        <v>630</v>
      </c>
      <c r="C935" s="103"/>
      <c r="D935" s="103"/>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630</v>
      </c>
      <c r="C945" s="76" t="s">
        <v>80</v>
      </c>
      <c r="D945" s="76" t="s">
        <v>80</v>
      </c>
      <c r="E945" s="76" t="s">
        <v>80</v>
      </c>
      <c r="F945" s="76" t="s">
        <v>80</v>
      </c>
      <c r="G945" s="76" t="s">
        <v>80</v>
      </c>
      <c r="H945" s="76" t="s">
        <v>80</v>
      </c>
      <c r="I945" s="106" t="s">
        <v>80</v>
      </c>
      <c r="J945" s="106"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10" t="s">
        <v>127</v>
      </c>
      <c r="D946" s="110" t="s">
        <v>128</v>
      </c>
      <c r="E946" s="110" t="s">
        <v>129</v>
      </c>
      <c r="F946" s="110" t="s">
        <v>130</v>
      </c>
      <c r="G946" s="110" t="s">
        <v>131</v>
      </c>
      <c r="H946" s="110" t="s">
        <v>132</v>
      </c>
      <c r="I946" s="111" t="s">
        <v>133</v>
      </c>
      <c r="J946" s="110" t="s">
        <v>134</v>
      </c>
      <c r="K946" s="110"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f>SUM('E2020'!$AL$8:$AL$10)+'E2020'!$AH$11</f>
        <v>340.85999999999996</v>
      </c>
      <c r="D947" s="24">
        <f>SUM('E2020'!$AM$8:$AM$10)</f>
        <v>91.68</v>
      </c>
      <c r="E947" s="24">
        <f>SUM('E2020'!$AN$8:$AN$10)</f>
        <v>55.93</v>
      </c>
      <c r="F947" s="24">
        <f>SUM('E2020'!$AO$8:$AO$10)</f>
        <v>87.49</v>
      </c>
      <c r="G947" s="24">
        <f>SUM('E2020'!$AP$8:$AP$10)</f>
        <v>5.78</v>
      </c>
      <c r="H947" s="24">
        <f>SUM('E2020'!$AQ$8:$AQ$10)+'E2020'!$AH$55</f>
        <v>196.66</v>
      </c>
      <c r="I947" s="24">
        <f>SUM('E2020'!$AR$8:$AR$10)</f>
        <v>5.89</v>
      </c>
      <c r="J947" s="24">
        <f>SUM('E2020'!$AS$8:$AS$10)</f>
        <v>123.55</v>
      </c>
      <c r="K947" s="24">
        <f>'E2020'!$AH$78*'E2020'!$AD$78/100+'E2020'!AT8</f>
        <v>0.73</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f>'E2020'!$C$22*'E2020'!$AD$22/100</f>
        <v>0</v>
      </c>
      <c r="I948" s="107"/>
      <c r="J948" s="107"/>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f>'E2020'!$AL$13+'E2020'!$AL$15</f>
        <v>260.10753999999997</v>
      </c>
      <c r="D949" s="24">
        <f>'E2020'!$AM$13</f>
        <v>0</v>
      </c>
      <c r="E949" s="24">
        <f>'E2020'!$AN$13</f>
        <v>0</v>
      </c>
      <c r="F949" s="24">
        <f>'E2020'!$AO$13</f>
        <v>0</v>
      </c>
      <c r="G949" s="24">
        <f>'E2020'!$AP$13</f>
        <v>0</v>
      </c>
      <c r="H949" s="24">
        <f>'E2020'!$AQ$13+'E2020'!$I$21*'E2020'!$AD$21/100+'E2020'!$I$22*'E2020'!$AD$22/100</f>
        <v>800.53812000000005</v>
      </c>
      <c r="I949" s="24">
        <f>'E2020'!$AR$13</f>
        <v>0</v>
      </c>
      <c r="J949" s="24">
        <f>'E2020'!$AS$13</f>
        <v>0</v>
      </c>
      <c r="K949" s="24">
        <f>'E2020'!$AT$13</f>
        <v>1.5800400000000001</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f>'E2020'!$D$22*'E2020'!$AD$22/100</f>
        <v>0.36899999999999999</v>
      </c>
      <c r="I950" s="107"/>
      <c r="J950" s="107"/>
      <c r="K950" s="24">
        <f>'E2020'!$D$80*'E2020'!$AD$80/100</f>
        <v>0.67799999999999994</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f>'E2020'!$AL$14</f>
        <v>111.72000000000001</v>
      </c>
      <c r="D951" s="24"/>
      <c r="E951" s="24"/>
      <c r="F951" s="24"/>
      <c r="G951" s="24"/>
      <c r="H951" s="24">
        <f>SUM('E2020'!$E$20:$F$20)*'E2020'!$AD$20/100+SUM('E2020'!$E$22:$F$22)*'E2020'!$AD$22/100</f>
        <v>12.140999999999998</v>
      </c>
      <c r="I951" s="107"/>
      <c r="J951" s="107">
        <f>'E2020'!$AS$75</f>
        <v>75.131600000000006</v>
      </c>
      <c r="K951" s="24">
        <f>'E2020'!$F$62*'E2020'!$AD$62%+'E2020'!$F$65*'E2020'!$AD$65%+'E2020'!$F$67*'E2020'!$AD$67%+
'E2020'!$F$71*'E2020'!$AD$71%+'E2020'!$F$76*'E2020'!$AD$76%+'E2020'!$F$77*'E2020'!$AD$77%+'E2020'!$F$80*'E2020'!$AD$80%</f>
        <v>248.01718705958257</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f>'E2020'!$H$22*'E2020'!$AD$22/100</f>
        <v>0</v>
      </c>
      <c r="I952" s="107"/>
      <c r="J952" s="107"/>
      <c r="K952" s="24">
        <f>'E2020'!$H$61*'E2020'!$AD$61%+'E2020'!$H$65*'E2020'!$AD$65%+'E2020'!$H$79*'E2020'!$AD$79%</f>
        <v>75.378104296201684</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7"/>
      <c r="J953" s="107"/>
      <c r="K953" s="24">
        <f>'E2020'!$G$79*'E2020'!$AD$79/100</f>
        <v>17.149049999999999</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f>'E2020'!$Z$22*'E2020'!$AD$22/100</f>
        <v>0</v>
      </c>
      <c r="I954" s="107"/>
      <c r="J954" s="107"/>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7"/>
      <c r="J955" s="107">
        <f>'E2020'!$S$75*'E2020'!$AD$75/100</f>
        <v>0</v>
      </c>
      <c r="K955" s="24">
        <f>'E2020'!$S$61*'E2020'!$AD$61%+'E2020'!$S$62*'E2020'!$AD$62%+'E2020'!$S$65*'E2020'!$AD$65%+'E2020'!$S$67*'E2020'!$AD$67%
+'E2020'!$S$71*'E2020'!$AD$71%+'E2020'!$S$76*'E2020'!$AD$76%+'E2020'!$S$77*'E2020'!$AD$77%</f>
        <v>24.244874637491616</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f>SUM('E2020'!$AL$16:$AL$18)</f>
        <v>579.60450000000003</v>
      </c>
      <c r="D956" s="24"/>
      <c r="E956" s="24"/>
      <c r="F956" s="24"/>
      <c r="G956" s="24"/>
      <c r="H956" s="24">
        <f>SUM('E2020'!$S$22:$V$22)*'E2020'!$AD$22/100</f>
        <v>12.195</v>
      </c>
      <c r="I956" s="107"/>
      <c r="J956" s="107"/>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f>'E2020'!$AL$33+'E2020'!$AL$36+'E2020'!$AL$43+'E2020'!$AL$51+'E2020'!$AL$60</f>
        <v>414.143772328176</v>
      </c>
      <c r="D957" s="24">
        <f>'E2020'!$AM$33+'E2020'!$AM$36+'E2020'!$AM$43+'E2020'!$AM$51+'E2020'!$AM$60</f>
        <v>62.536347747552</v>
      </c>
      <c r="E957" s="24">
        <f>'E2020'!$AN$33+'E2020'!$AN$36+'E2020'!$AN$43+'E2020'!$AN$51+'E2020'!$AN$60</f>
        <v>84.232631659967993</v>
      </c>
      <c r="F957" s="24">
        <f>'E2020'!$AO$33+'E2020'!$AO$36+'E2020'!$AO$43+'E2020'!$AO$51+'E2020'!$AO$60</f>
        <v>44.668819819680003</v>
      </c>
      <c r="G957" s="24">
        <f>'E2020'!$AP$33+'E2020'!$AP$36+'E2020'!$AP$43+'E2020'!$AP$51+'E2020'!$AP$60</f>
        <v>0</v>
      </c>
      <c r="H957" s="24">
        <f>'E2020'!$AQ$33+'E2020'!$AQ$36+'E2020'!$AQ$43+'E2020'!$AQ$51+'E2020'!$AQ$60</f>
        <v>22.972535907264003</v>
      </c>
      <c r="I957" s="24">
        <f>'E2020'!$AR$33+'E2020'!$AR$36+'E2020'!$AR$43+'E2020'!$AR$51+'E2020'!$AR$60</f>
        <v>9.5718899613600001</v>
      </c>
      <c r="J957" s="24">
        <f>'E2020'!$AS$33+'E2020'!$AS$36+'E2020'!$AS$43+'E2020'!$AS$51+'E2020'!$AS$60</f>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f>(-'E2020'!$AI$56)</f>
        <v>33.700000000000003</v>
      </c>
      <c r="I958" s="107"/>
      <c r="J958" s="107"/>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f>('E2020'!$R$22+'E2020'!$S$22+'E2020'!$T$22+'E2020'!$W$22+'E2020'!$X$22+'E2020'!$Y$22)*'E2020'!$AD$22/100</f>
        <v>0</v>
      </c>
      <c r="I959" s="107"/>
      <c r="J959" s="107"/>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f>'E2020'!$AL$19+'E2020'!$Q$11</f>
        <v>22.439999999999998</v>
      </c>
      <c r="D960" s="24"/>
      <c r="E960" s="24"/>
      <c r="F960" s="24"/>
      <c r="G960" s="24"/>
      <c r="H960" s="24"/>
      <c r="I960" s="107"/>
      <c r="J960" s="107"/>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1" t="s">
        <v>98</v>
      </c>
      <c r="C961" s="92">
        <f t="shared" ref="C961:K961" si="77">SUM(C947:C960)</f>
        <v>1728.8758123281759</v>
      </c>
      <c r="D961" s="92">
        <f t="shared" si="77"/>
        <v>154.21634774755199</v>
      </c>
      <c r="E961" s="92">
        <f t="shared" si="77"/>
        <v>140.16263165996799</v>
      </c>
      <c r="F961" s="92">
        <f t="shared" si="77"/>
        <v>132.15881981967999</v>
      </c>
      <c r="G961" s="92">
        <f t="shared" si="77"/>
        <v>5.78</v>
      </c>
      <c r="H961" s="92">
        <f t="shared" si="77"/>
        <v>1078.575655907264</v>
      </c>
      <c r="I961" s="108">
        <f t="shared" si="77"/>
        <v>15.461889961360001</v>
      </c>
      <c r="J961" s="108">
        <f t="shared" si="77"/>
        <v>198.6816</v>
      </c>
      <c r="K961" s="92">
        <f t="shared" si="77"/>
        <v>367.77725599327584</v>
      </c>
      <c r="L961" s="113"/>
      <c r="M961" s="114"/>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2"/>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2"/>
      <c r="D963" s="142"/>
      <c r="E963" s="142"/>
      <c r="F963" s="142"/>
      <c r="G963" s="142"/>
      <c r="H963" s="142"/>
      <c r="I963" s="142"/>
      <c r="J963" s="142"/>
      <c r="K963" s="142"/>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5" t="s">
        <v>633</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5"/>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634</v>
      </c>
      <c r="C998" s="76" t="s">
        <v>80</v>
      </c>
      <c r="D998" s="76"/>
      <c r="E998" s="76" t="s">
        <v>80</v>
      </c>
      <c r="F998" s="76" t="s">
        <v>80</v>
      </c>
      <c r="G998" s="76" t="s">
        <v>80</v>
      </c>
      <c r="H998" s="76" t="s">
        <v>80</v>
      </c>
      <c r="I998" s="76" t="s">
        <v>80</v>
      </c>
      <c r="J998" s="76" t="s">
        <v>80</v>
      </c>
      <c r="K998" s="76" t="s">
        <v>80</v>
      </c>
      <c r="L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2007</v>
      </c>
      <c r="F999" s="69">
        <v>2009</v>
      </c>
      <c r="G999" s="69">
        <v>2011</v>
      </c>
      <c r="H999" s="69">
        <v>2013</v>
      </c>
      <c r="I999" s="69">
        <v>2015</v>
      </c>
      <c r="J999" s="69">
        <v>2017</v>
      </c>
      <c r="K999" s="69">
        <v>2018</v>
      </c>
      <c r="L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f>SUM('E1990'!$AL$33:$AS$33,'E1990'!$AL$36:$AS$36,'E1990'!$AL$43:$AS$43,'E1990'!$AL$51:$AS$51,'E1990'!$AL$60:$AS$60)</f>
        <v>448.42948500000011</v>
      </c>
      <c r="D1000" s="24"/>
      <c r="E1000" s="24">
        <f>SUM('E2007'!$AL$33:$AS$33,'E2007'!$AL$36:$AS$36,'E2007'!$AL$43:$AS$43,'E2007'!$AL$51:$AS$51,'E2007'!$AL$60:$AS$60)</f>
        <v>608.97608999999989</v>
      </c>
      <c r="F1000" s="24">
        <f>SUM('E2009'!$AL$33:$AS$33,'E2009'!$AL$36:$AS$36,'E2009'!$AL$43:$AS$43,'E2009'!$AL$51:$AS$51,'E2009'!$AL$60:$AS$60)</f>
        <v>731.07149056000003</v>
      </c>
      <c r="G1000" s="24">
        <f>SUM('E2011'!$AL$33:$AS$33,'E2011'!$AL$36:$AS$36,'E2011'!$AL$43:$AS$43,'E2011'!$AL$51:$AS$51,'E2011'!$AL$60:$AS$60)</f>
        <v>708.9159810000001</v>
      </c>
      <c r="H1000" s="24">
        <f>SUM('E2013'!$AL$33:$AS$33,'E2013'!$AL$36:$AS$36,'E2013'!$AL$43:$AS$43,'E2013'!$AL$51:$AS$51,'E2013'!$AL$60:$AS$60)</f>
        <v>720.62538500000005</v>
      </c>
      <c r="I1000" s="24">
        <f>SUM('E2015'!$AL$33:$AS$33,'E2015'!$AL$36:$AS$36,'E2015'!$AL$43:$AS$43,'E2015'!$AL$51:$AS$51,'E2015'!$AL$60:$AS$60)</f>
        <v>635.35448604320015</v>
      </c>
      <c r="J1000" s="24">
        <f>SUM('E2017'!$AL$33:$AS$33,'E2017'!$AL$36:$AS$36,'E2017'!$AL$43:$AS$43,'E2017'!$AL$51:$AS$51,'E2017'!$AL$60:$AS$60)</f>
        <v>634.31754977200023</v>
      </c>
      <c r="K1000" s="24">
        <f>SUM('E2018'!$AL$33:$AS$33,'E2018'!$AL$36:$AS$36,'E2018'!$AL$43:$AS$43,'E2018'!$AL$51:$AS$51,'E2018'!$AL$60:$AS$60)</f>
        <v>648.06301991999987</v>
      </c>
      <c r="L1000" s="24">
        <f>SUM('E2020'!$AL$33:$AS$33,'E2020'!$AL$36:$AS$36,'E2020'!$AL$43:$AS$43,'E2020'!$AL$51:$AS$51,'E2020'!$AL$60:$AS$60)</f>
        <v>638.12599742400005</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f>'E1990'!$AL$15</f>
        <v>73.491</v>
      </c>
      <c r="D1001" s="24"/>
      <c r="E1001" s="24">
        <f>'E2007'!$AL$15</f>
        <v>275.39342314200002</v>
      </c>
      <c r="F1001" s="24">
        <f>'E2009'!$AL$15</f>
        <v>267.75</v>
      </c>
      <c r="G1001" s="24">
        <f>'E2011'!$AL$15</f>
        <v>266.05</v>
      </c>
      <c r="H1001" s="24">
        <f>'E2013'!$AL$15</f>
        <v>283.05</v>
      </c>
      <c r="I1001" s="24">
        <f>'E2015'!$AL$15</f>
        <v>257.71999999999997</v>
      </c>
      <c r="J1001" s="24">
        <f>'E2017'!$AL$15</f>
        <v>263.33</v>
      </c>
      <c r="K1001" s="24">
        <f>'E2018'!$AL$15</f>
        <v>255.76499999999999</v>
      </c>
      <c r="L1001" s="24">
        <f>'E2020'!$AL$15</f>
        <v>258.52749999999997</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f>'E1990'!$AL$14</f>
        <v>1675.0640000000001</v>
      </c>
      <c r="D1002" s="24"/>
      <c r="E1002" s="24">
        <f>'E2007'!$AL$14</f>
        <v>380</v>
      </c>
      <c r="F1002" s="24">
        <f>'E2009'!$AL$14</f>
        <v>383.20000000000005</v>
      </c>
      <c r="G1002" s="24">
        <f>'E2011'!$AL$14</f>
        <v>250.4</v>
      </c>
      <c r="H1002" s="24">
        <f>'E2013'!$AL$14</f>
        <v>224</v>
      </c>
      <c r="I1002" s="24">
        <f>'E2015'!$AL$14</f>
        <v>190.4</v>
      </c>
      <c r="J1002" s="24">
        <f>'E2017'!$AL$14</f>
        <v>116</v>
      </c>
      <c r="K1002" s="24">
        <f>'E2018'!$AL$14</f>
        <v>115.84000000000002</v>
      </c>
      <c r="L1002" s="24">
        <f>'E2020'!$AL$14</f>
        <v>111.72000000000001</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f>'E1990'!$AL$16</f>
        <v>5.6025</v>
      </c>
      <c r="D1003" s="24"/>
      <c r="E1003" s="24">
        <f>'E2007'!$AL$16</f>
        <v>147.75</v>
      </c>
      <c r="F1003" s="24">
        <f>'E2009'!$AL$16</f>
        <v>321.75</v>
      </c>
      <c r="G1003" s="24">
        <f>'E2011'!$AL$16</f>
        <v>236.25</v>
      </c>
      <c r="H1003" s="24">
        <f>'E2013'!$AL$16</f>
        <v>280.5</v>
      </c>
      <c r="I1003" s="24">
        <f>'E2015'!$AL$16</f>
        <v>295.5</v>
      </c>
      <c r="J1003" s="24">
        <f>'E2017'!$AL$16</f>
        <v>301.5</v>
      </c>
      <c r="K1003" s="24">
        <f>'E2018'!$AL$16</f>
        <v>303.375</v>
      </c>
      <c r="L1003" s="24">
        <f>'E2020'!$AL$16</f>
        <v>300.93</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f>'E1990'!$AL$17</f>
        <v>172.744</v>
      </c>
      <c r="D1004" s="24"/>
      <c r="E1004" s="24">
        <f>'E2007'!$AL$17</f>
        <v>492.05</v>
      </c>
      <c r="F1004" s="24">
        <f>'E2009'!$AL$17</f>
        <v>486.2</v>
      </c>
      <c r="G1004" s="24">
        <f>'E2011'!$AL$17</f>
        <v>458.90000000000003</v>
      </c>
      <c r="H1004" s="24">
        <f>'E2013'!$AL$17</f>
        <v>525.20000000000005</v>
      </c>
      <c r="I1004" s="24">
        <f>'E2015'!$AL$17</f>
        <v>438.75</v>
      </c>
      <c r="J1004" s="24">
        <f>'E2017'!$AL$17</f>
        <v>299</v>
      </c>
      <c r="K1004" s="24">
        <f>'E2018'!$AL$17</f>
        <v>275.14500000000004</v>
      </c>
      <c r="L1004" s="24">
        <f>'E2020'!$AL$17</f>
        <v>236.0215</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f>'E1990'!$AL$18</f>
        <v>144.55349999999999</v>
      </c>
      <c r="D1005" s="24"/>
      <c r="E1005" s="24">
        <f>'E2007'!$AL$18</f>
        <v>106.60000000000001</v>
      </c>
      <c r="F1005" s="24">
        <f>'E2009'!$AL$18</f>
        <v>82.55</v>
      </c>
      <c r="G1005" s="24">
        <f>'E2011'!$AL$18</f>
        <v>65.650000000000006</v>
      </c>
      <c r="H1005" s="24">
        <f>'E2013'!$AL$18</f>
        <v>62.400000000000006</v>
      </c>
      <c r="I1005" s="24">
        <f>'E2015'!$AL$18</f>
        <v>52</v>
      </c>
      <c r="J1005" s="24">
        <f>'E2017'!$AL$18</f>
        <v>48.75</v>
      </c>
      <c r="K1005" s="24">
        <f>'E2018'!$AL$18</f>
        <v>45.825000000000003</v>
      </c>
      <c r="L1005" s="24">
        <f>'E2020'!$AL$18</f>
        <v>42.653000000000006</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f>'E1990'!$AL$9/'E1990'!$AE$9%+'E1990'!$AL$10/'E1990'!$AE$10%</f>
        <v>49.646666666666668</v>
      </c>
      <c r="D1006" s="24"/>
      <c r="E1006" s="24">
        <f>'E2007'!$AL$9/'E2007'!$AE$9%+'E2007'!$AL$10/'E2007'!$AE$10%</f>
        <v>28.958275752045445</v>
      </c>
      <c r="F1006" s="24">
        <f>'E2009'!$AL$9/'E2009'!$AE$9%+'E2009'!$AL$10/'E2009'!$AE$10%</f>
        <v>31.09528343361697</v>
      </c>
      <c r="G1006" s="24">
        <f>'E2011'!$AL$9/'E2011'!$AE$9%+'E2011'!$AL$10/'E2011'!$AE$10%</f>
        <v>29.866666666666667</v>
      </c>
      <c r="H1006" s="24">
        <f>'E2013'!$AL$9/'E2013'!$AE$9%+'E2013'!$AL$10/'E2013'!$AE$10%</f>
        <v>28.544444444444444</v>
      </c>
      <c r="I1006" s="24">
        <f>'E2015'!$AL$9/'E2015'!$AE$9%+'E2015'!$AL$10/'E2015'!$AE$10%</f>
        <v>25.68888888888889</v>
      </c>
      <c r="J1006" s="24">
        <f>'E2017'!$AL$9/'E2017'!$AE$9%+'E2017'!$AL$10/'E2017'!$AE$10%</f>
        <v>30.788888888888888</v>
      </c>
      <c r="K1006" s="24">
        <f>'E2018'!$AL$9/'E2018'!$AE$9%+'E2018'!$AL$10/'E2018'!$AE$10%</f>
        <v>32.011111111111106</v>
      </c>
      <c r="L1006" s="24">
        <f>'E2020'!$AL$9/'E2020'!$AE$9%+'E2020'!$AL$10/'E2020'!$AE$10%</f>
        <v>34.880000000000003</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f>'E1990'!$Q$11+'E1990'!$AH$11</f>
        <v>0</v>
      </c>
      <c r="D1007" s="24"/>
      <c r="E1007" s="24">
        <f>'E2007'!$Q$11+'E2007'!$AH$11</f>
        <v>0.1927555638177586</v>
      </c>
      <c r="F1007" s="24">
        <f>'E2009'!$Q$11+'E2009'!$AH$11</f>
        <v>2.3609309990461051</v>
      </c>
      <c r="G1007" s="24">
        <f>'E2011'!$Q$11+'E2011'!$AH$11</f>
        <v>8.5</v>
      </c>
      <c r="H1007" s="24">
        <f>'E2013'!$Q$11+'E2013'!$AH$11</f>
        <v>7.75</v>
      </c>
      <c r="I1007" s="24">
        <f>'E2015'!$Q$11+'E2015'!$AH$11</f>
        <v>11.7</v>
      </c>
      <c r="J1007" s="24">
        <f>'E2017'!$Q$11+'E2017'!$AH$11</f>
        <v>14.099999999999998</v>
      </c>
      <c r="K1007" s="24">
        <f>'E2018'!$Q$11+'E2018'!$AH$11</f>
        <v>15.3</v>
      </c>
      <c r="L1007" s="24">
        <f>'E2020'!$Q$11+'E2020'!$AH$11</f>
        <v>22.32</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f>'E1990'!$AL$19</f>
        <v>1.1000000000000001</v>
      </c>
      <c r="D1008" s="24"/>
      <c r="E1008" s="24">
        <f>'E2007'!$AL$19</f>
        <v>5.5</v>
      </c>
      <c r="F1008" s="24">
        <f>'E2009'!$AL$19</f>
        <v>6.4</v>
      </c>
      <c r="G1008" s="24">
        <f>'E2011'!$AL$19</f>
        <v>7.1</v>
      </c>
      <c r="H1008" s="24">
        <f>'E2013'!$AL$19</f>
        <v>7.8</v>
      </c>
      <c r="I1008" s="24">
        <f>'E2015'!$AL$19</f>
        <v>7.6</v>
      </c>
      <c r="J1008" s="24">
        <f>'E2017'!$AL$19</f>
        <v>7.7</v>
      </c>
      <c r="K1008" s="24">
        <f>'E2018'!$AL$19</f>
        <v>7.7</v>
      </c>
      <c r="L1008" s="24">
        <f>'E2020'!$AL$19</f>
        <v>7.56</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1" t="s">
        <v>98</v>
      </c>
      <c r="C1009" s="92">
        <f t="shared" ref="C1009" si="78">SUM(C1000:C1008)</f>
        <v>2570.6311516666665</v>
      </c>
      <c r="D1009" s="92"/>
      <c r="E1009" s="92">
        <f t="shared" ref="E1009:I1009" si="79">SUM(E1000:E1008)</f>
        <v>2045.4205444578631</v>
      </c>
      <c r="F1009" s="92">
        <f t="shared" si="79"/>
        <v>2312.3777049926634</v>
      </c>
      <c r="G1009" s="92">
        <f t="shared" si="79"/>
        <v>2031.6326476666668</v>
      </c>
      <c r="H1009" s="92">
        <f t="shared" si="79"/>
        <v>2139.8698294444443</v>
      </c>
      <c r="I1009" s="92">
        <f t="shared" si="79"/>
        <v>1914.713374932089</v>
      </c>
      <c r="J1009" s="92">
        <f>SUM(J1000:J1008)</f>
        <v>1715.486438660889</v>
      </c>
      <c r="K1009" s="92">
        <f>SUM(K1000:K1008)</f>
        <v>1699.0241310311112</v>
      </c>
      <c r="L1009" s="92">
        <f>SUM(L1000:L1008)</f>
        <v>1652.7379974240002</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5" t="s">
        <v>634</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5" t="s">
        <v>635</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5" t="s">
        <v>636</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2" t="s">
        <v>147</v>
      </c>
      <c r="C1101" s="103"/>
      <c r="D1101" s="103"/>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5"/>
      <c r="V1105" s="109"/>
      <c r="W1105" s="109"/>
      <c r="X1105" s="109"/>
      <c r="Y1105" s="109"/>
      <c r="Z1105" s="109"/>
      <c r="AA1105" s="109"/>
      <c r="AB1105" s="109"/>
      <c r="AC1105" s="109"/>
      <c r="AD1105" s="109"/>
      <c r="AE1105" s="109"/>
      <c r="AF1105" s="109"/>
      <c r="AG1105" s="109"/>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9"/>
      <c r="C1106" s="106" t="s">
        <v>148</v>
      </c>
      <c r="D1106" s="76" t="s">
        <v>149</v>
      </c>
      <c r="E1106" s="70"/>
      <c r="F1106" s="70"/>
      <c r="G1106" s="70"/>
      <c r="H1106" s="70"/>
      <c r="I1106" s="74"/>
      <c r="J1106" s="70"/>
      <c r="K1106" s="70"/>
      <c r="L1106" s="70"/>
      <c r="M1106" s="70"/>
      <c r="N1106" s="70"/>
      <c r="O1106" s="70"/>
      <c r="S1106" s="70"/>
      <c r="T1106" s="70"/>
      <c r="U1106" s="115"/>
      <c r="V1106" s="109"/>
      <c r="W1106" s="109"/>
      <c r="X1106" s="109"/>
      <c r="Y1106" s="109"/>
      <c r="Z1106" s="109"/>
      <c r="AA1106" s="109"/>
      <c r="AB1106" s="109"/>
      <c r="AC1106" s="109"/>
      <c r="AD1106" s="109"/>
      <c r="AE1106" s="109"/>
      <c r="AF1106" s="109"/>
      <c r="AG1106" s="109"/>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90" t="s">
        <v>150</v>
      </c>
      <c r="C1107" s="107"/>
      <c r="D1107" s="24">
        <f>SUM('E2020'!$AH$8:$AH$11)+'E2020'!$AH$55+'E2020'!$AH$64+'E2020'!$AH$70+'E2020'!$AH$74+'E2020'!$AH$78</f>
        <v>1058.3418046031761</v>
      </c>
      <c r="E1107" s="117"/>
      <c r="F1107" s="117"/>
      <c r="G1107" s="117"/>
      <c r="H1107" s="117"/>
      <c r="I1107" s="74"/>
      <c r="J1107" s="117"/>
      <c r="K1107" s="117"/>
      <c r="L1107" s="117"/>
      <c r="M1107" s="117"/>
      <c r="N1107" s="117"/>
      <c r="O1107" s="117"/>
      <c r="S1107" s="120"/>
      <c r="T1107" s="120"/>
      <c r="U1107" s="115"/>
      <c r="V1107" s="119"/>
      <c r="W1107" s="119"/>
      <c r="X1107" s="119"/>
      <c r="Y1107" s="119"/>
      <c r="Z1107" s="119"/>
      <c r="AA1107" s="119"/>
      <c r="AB1107" s="112"/>
      <c r="AC1107" s="112"/>
      <c r="AD1107" s="112"/>
      <c r="AE1107" s="112"/>
      <c r="AF1107" s="112"/>
      <c r="AG1107" s="112"/>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90" t="s">
        <v>151</v>
      </c>
      <c r="C1108" s="107"/>
      <c r="D1108" s="24">
        <f>-(SUM('E2020'!$AG$8:$AG$11)+SUM('E2020'!$AH$8:$AH$11))-('E2020'!$AG$31+'E2020'!$AH$31)-('E2020'!$AG$32+'E2020'!$AH$32)-('E2020'!$AG$39+'E2020'!$AH$39)-('E2020'!$AG$40+'E2020'!$AH$40)-('E2020'!$AG$46+'E2020'!$AH$46)-
('E2020'!$AG$47+'E2020'!$AH$47)-('E2020'!$AG$64+'E2020'!$AH$64)-('E2020'!$AG$65+'E2020'!$AH$65)-('E2020'!$AG$70+'E2020'!$AH$70)-('E2020'!$AG$74+'E2020'!$AH$74)-('E2020'!$AG$78+'E2020'!$AH$78)</f>
        <v>90.964445233516713</v>
      </c>
      <c r="E1108" s="117"/>
      <c r="F1108" s="117"/>
      <c r="G1108" s="117"/>
      <c r="H1108" s="117"/>
      <c r="I1108" s="74"/>
      <c r="J1108" s="117"/>
      <c r="K1108" s="117"/>
      <c r="L1108" s="117"/>
      <c r="M1108" s="117"/>
      <c r="N1108" s="117"/>
      <c r="O1108" s="117"/>
      <c r="S1108" s="120"/>
      <c r="T1108" s="120"/>
      <c r="U1108" s="115"/>
      <c r="V1108" s="112"/>
      <c r="W1108" s="112"/>
      <c r="X1108" s="112"/>
      <c r="Y1108" s="112"/>
      <c r="Z1108" s="112"/>
      <c r="AA1108" s="112"/>
      <c r="AB1108" s="112"/>
      <c r="AC1108" s="112"/>
      <c r="AD1108" s="112"/>
      <c r="AE1108" s="112"/>
      <c r="AF1108" s="112"/>
      <c r="AG1108" s="112"/>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90" t="s">
        <v>152</v>
      </c>
      <c r="C1109" s="107"/>
      <c r="D1109" s="24">
        <f>'E2020'!$AH$31+'E2020'!$AH$32+'E2020'!$AH$39+'E2020'!$AH$40+'E2020'!$AH$46+'E2020'!$AH$47</f>
        <v>0</v>
      </c>
      <c r="E1109" s="117"/>
      <c r="F1109" s="117"/>
      <c r="G1109" s="117"/>
      <c r="H1109" s="117"/>
      <c r="I1109" s="74"/>
      <c r="J1109" s="117"/>
      <c r="K1109" s="117"/>
      <c r="L1109" s="117"/>
      <c r="M1109" s="117"/>
      <c r="N1109" s="117"/>
      <c r="O1109" s="117"/>
      <c r="S1109" s="120"/>
      <c r="T1109" s="120"/>
      <c r="U1109" s="115"/>
      <c r="V1109" s="112"/>
      <c r="W1109" s="112"/>
      <c r="X1109" s="112"/>
      <c r="Y1109" s="112"/>
      <c r="Z1109" s="112"/>
      <c r="AA1109" s="112"/>
      <c r="AB1109" s="112"/>
      <c r="AC1109" s="112"/>
      <c r="AD1109" s="112"/>
      <c r="AE1109" s="112"/>
      <c r="AF1109" s="112"/>
      <c r="AG1109" s="112"/>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90"/>
      <c r="C1110" s="107"/>
      <c r="D1110" s="24"/>
      <c r="E1110" s="117"/>
      <c r="F1110" s="117"/>
      <c r="G1110" s="117"/>
      <c r="H1110" s="117"/>
      <c r="I1110" s="74"/>
      <c r="J1110" s="117"/>
      <c r="K1110" s="117"/>
      <c r="L1110" s="117"/>
      <c r="M1110" s="117"/>
      <c r="N1110" s="117"/>
      <c r="O1110" s="117"/>
      <c r="S1110" s="120"/>
      <c r="T1110" s="120"/>
      <c r="U1110" s="115"/>
      <c r="V1110" s="112"/>
      <c r="W1110" s="112"/>
      <c r="X1110" s="112"/>
      <c r="Y1110" s="112"/>
      <c r="Z1110" s="112"/>
      <c r="AA1110" s="112"/>
      <c r="AB1110" s="112"/>
      <c r="AC1110" s="112"/>
      <c r="AD1110" s="112"/>
      <c r="AE1110" s="112"/>
      <c r="AF1110" s="112"/>
      <c r="AG1110" s="112"/>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90" t="s">
        <v>153</v>
      </c>
      <c r="C1111" s="107">
        <f>'E2020'!$AG$28+'E2020'!$AG$29+'E2020'!$AG$34+'E2020'!$AG$37+'E2020'!$AG$44+'E2020'!$AG$52</f>
        <v>192.80220000000006</v>
      </c>
      <c r="D1111" s="24"/>
      <c r="E1111" s="117"/>
      <c r="F1111" s="117"/>
      <c r="G1111" s="117"/>
      <c r="H1111" s="117"/>
      <c r="I1111" s="74"/>
      <c r="J1111" s="117"/>
      <c r="K1111" s="117"/>
      <c r="L1111" s="117"/>
      <c r="M1111" s="117"/>
      <c r="N1111" s="117"/>
      <c r="O1111" s="117"/>
      <c r="S1111" s="120"/>
      <c r="T1111" s="120"/>
      <c r="U1111" s="115"/>
      <c r="V1111" s="112"/>
      <c r="W1111" s="112"/>
      <c r="X1111" s="112"/>
      <c r="Y1111" s="112"/>
      <c r="Z1111" s="112"/>
      <c r="AA1111" s="112"/>
      <c r="AB1111" s="112"/>
      <c r="AC1111" s="112"/>
      <c r="AD1111" s="112"/>
      <c r="AE1111" s="112"/>
      <c r="AF1111" s="112"/>
      <c r="AG1111" s="112"/>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90" t="s">
        <v>154</v>
      </c>
      <c r="C1112" s="107">
        <f>'E2020'!$AG$24</f>
        <v>945.45</v>
      </c>
      <c r="D1112" s="24"/>
      <c r="E1112" s="117"/>
      <c r="F1112" s="117"/>
      <c r="G1112" s="117"/>
      <c r="H1112" s="117"/>
      <c r="I1112" s="74"/>
      <c r="J1112" s="117"/>
      <c r="K1112" s="117"/>
      <c r="L1112" s="117"/>
      <c r="M1112" s="117"/>
      <c r="N1112" s="117"/>
      <c r="O1112" s="117"/>
      <c r="S1112" s="120"/>
      <c r="T1112" s="120"/>
      <c r="U1112" s="115"/>
      <c r="V1112" s="115"/>
      <c r="W1112" s="115"/>
      <c r="X1112" s="115"/>
      <c r="Y1112" s="115"/>
      <c r="Z1112" s="115"/>
      <c r="AA1112" s="115"/>
      <c r="AB1112" s="112"/>
      <c r="AC1112" s="112"/>
      <c r="AD1112" s="112"/>
      <c r="AE1112" s="112"/>
      <c r="AF1112" s="112"/>
      <c r="AG1112" s="112"/>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90" t="s">
        <v>177</v>
      </c>
      <c r="C1113" s="107">
        <f>'E2020'!$AG$25</f>
        <v>0</v>
      </c>
      <c r="D1113" s="24"/>
      <c r="E1113" s="117"/>
      <c r="F1113" s="117"/>
      <c r="G1113" s="117"/>
      <c r="H1113" s="117"/>
      <c r="I1113" s="74"/>
      <c r="J1113" s="117"/>
      <c r="K1113" s="117"/>
      <c r="L1113" s="117"/>
      <c r="M1113" s="117"/>
      <c r="N1113" s="117"/>
      <c r="O1113" s="117"/>
      <c r="S1113" s="120"/>
      <c r="T1113" s="120"/>
      <c r="U1113" s="115"/>
      <c r="V1113" s="115"/>
      <c r="W1113" s="115"/>
      <c r="X1113" s="115"/>
      <c r="Y1113" s="115"/>
      <c r="Z1113" s="115"/>
      <c r="AA1113" s="115"/>
      <c r="AB1113" s="112"/>
      <c r="AC1113" s="112"/>
      <c r="AD1113" s="112"/>
      <c r="AE1113" s="112"/>
      <c r="AF1113" s="112"/>
      <c r="AG1113" s="112"/>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90" t="s">
        <v>155</v>
      </c>
      <c r="C1114" s="107">
        <f>'E2020'!$AG$23+'E2020'!$AG$26</f>
        <v>35.5</v>
      </c>
      <c r="D1114" s="24"/>
      <c r="E1114" s="117"/>
      <c r="F1114" s="117"/>
      <c r="G1114" s="117"/>
      <c r="H1114" s="117"/>
      <c r="I1114" s="74"/>
      <c r="J1114" s="120"/>
      <c r="K1114" s="120"/>
      <c r="L1114" s="120"/>
      <c r="M1114" s="120"/>
      <c r="N1114" s="120"/>
      <c r="O1114" s="120"/>
      <c r="S1114" s="120"/>
      <c r="T1114" s="120"/>
      <c r="U1114" s="115"/>
      <c r="V1114" s="112"/>
      <c r="W1114" s="112"/>
      <c r="X1114" s="112"/>
      <c r="Y1114" s="112"/>
      <c r="Z1114" s="112"/>
      <c r="AA1114" s="112"/>
      <c r="AB1114" s="112"/>
      <c r="AC1114" s="112"/>
      <c r="AD1114" s="112"/>
      <c r="AE1114" s="112"/>
      <c r="AF1114" s="112"/>
      <c r="AG1114" s="112"/>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90" t="s">
        <v>111</v>
      </c>
      <c r="C1115" s="107">
        <f>'E2020'!$AG$12</f>
        <v>-23.359213482718847</v>
      </c>
      <c r="D1115" s="24"/>
      <c r="E1115" s="87"/>
      <c r="F1115" s="87"/>
      <c r="G1115" s="87"/>
      <c r="H1115" s="87"/>
      <c r="I1115" s="74"/>
      <c r="J1115" s="87"/>
      <c r="K1115" s="87"/>
      <c r="L1115" s="87"/>
      <c r="M1115" s="87"/>
      <c r="N1115" s="87"/>
      <c r="O1115" s="87"/>
      <c r="S1115" s="87"/>
      <c r="T1115" s="87"/>
      <c r="U1115" s="115"/>
      <c r="V1115" s="103"/>
      <c r="W1115" s="103"/>
      <c r="X1115" s="103"/>
      <c r="Y1115" s="103"/>
      <c r="Z1115" s="103"/>
      <c r="AA1115" s="103"/>
      <c r="AB1115" s="103"/>
      <c r="AC1115" s="103"/>
      <c r="AD1115" s="103"/>
      <c r="AE1115" s="103"/>
      <c r="AF1115" s="103"/>
      <c r="AG1115" s="103"/>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5" t="s">
        <v>98</v>
      </c>
      <c r="C1116" s="108">
        <f>SUM(C1107:C1115)</f>
        <v>1150.3929865172813</v>
      </c>
      <c r="D1116" s="92">
        <f>SUM(D1107:D1115)</f>
        <v>1149.3062498366928</v>
      </c>
      <c r="E1116" s="87"/>
      <c r="F1116" s="146"/>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4"/>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5"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6"/>
      <c r="D1145" s="96"/>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6"/>
      <c r="D1146" s="96"/>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6"/>
      <c r="D1147" s="96"/>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f>SUM('E2020'!$AH$8:$AH$11)+'E2020'!$AH$55+SUM('E2020'!$AH$61:$AH$80)</f>
        <v>1059.4285412837644</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f>-(SUM('E2020'!$AG$8:$AG$11)+SUM('E2020'!$AH$8:$AH$11))-('E2020'!$AG$31+'E2020'!$AH$31)-('E2020'!$AG$32+'E2020'!$AH$32)-('E2020'!$AG$39+'E2020'!$AH$39)-('E2020'!$AG$40+'E2020'!$AH$40)-('E2020'!$AG$46+'E2020'!$AH$46)-
('E2020'!$AG$47+'E2020'!$AH$47)-('E2020'!$AG$64+'E2020'!$AH$64)-('E2020'!$AG$65+'E2020'!$AH$65)-('E2020'!$AG$70+'E2020'!$AH$70)-('E2020'!$AG$74+'E2020'!$AH$74)-('E2020'!$AG$78+'E2020'!$AH$78)</f>
        <v>90.964445233516713</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90" t="s">
        <v>152</v>
      </c>
      <c r="C1153" s="24"/>
      <c r="D1153" s="24">
        <f>'E2020'!$AH$31+'E2020'!$AH$32+'E2020'!$AH$39+'E2020'!$AH$40+'E2020'!$AH$46+'E2020'!$AH$47</f>
        <v>0</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90"/>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f>'E2020'!$E$28*'E2020'!$AE$28%+'E2020'!$E$29*'E2020'!$AE$29%+'E2020'!$E$30*'E2020'!$AE$30%+'E2020'!$E$33*'E2020'!$AE$33%+'E2020'!$E$34*'E2020'!$AE$34%+'E2020'!$E$35*'E2020'!$AE$35%+'E2020'!$E$36*'E2020'!$AE$36%+'E2020'!$E$37*'E2020'!$AE$37%+'E2020'!$E$38*'E2020'!$AE$38%+'E2020'!$E$41*'E2020'!$AE$41%+'E2020'!$E$42*'E2020'!$AE$42%+'E2020'!$E$43*'E2020'!$AE$43%+'E2020'!$E$44*'E2020'!$AE$44%+'E2020'!$E$45*'E2020'!$AE$45%+'E2020'!$E$48*'E2020'!$AE$48%+'E2020'!$E$49*'E2020'!$AE$49%+'E2020'!$E$50*'E2020'!$AE$50%+'E2020'!$E$51*'E2020'!$AE$51%+'E2020'!$E$52*'E2020'!$AE$52%+'E2020'!$E$53*'E2020'!$AE$53%+'E2020'!$E$54*'E2020'!$AE$54%</f>
        <v>1.9259999999999999E-2</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f>'E2020'!$C$28*'E2020'!$AC$28%+'E2020'!$C$29*'E2020'!$AC$29%+'E2020'!$C$32*'E2020'!$AC$32%+'E2020'!$C$33*'E2020'!$AC$33%+'E2020'!$C$34*'E2020'!$AC$34%+'E2020'!$C$35*'E2020'!$AC$35%+'E2020'!$C$36*'E2020'!$AC$36%+'E2020'!$C$37*'E2020'!$AC$37%+'E2020'!$C$38*'E2020'!$AC$38%+'E2020'!$C$41*'E2020'!$AC$41%+'E2020'!$C$42*'E2020'!$AC$42%+'E2020'!$C$43*'E2020'!$AC$43%+'E2020'!$C$44*'E2020'!$AC$44%+'E2020'!$C$45*'E2020'!$AC$45%+'E2020'!$C$48*'E2020'!$AC$48%+'E2020'!$C$49*'E2020'!$AC$49%+'E2020'!$C$50*'E2020'!$AC$50%+'E2020'!$C$51*'E2020'!$AC$51%+'E2020'!$C$52*'E2020'!$AC$52%+'E2020'!$C$53*'E2020'!$AC$53%+'E2020'!$C$54*'E2020'!$AC$54%</f>
        <v>0</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f>'E2020'!$D$28*'E2020'!$AC$28%+'E2020'!$D$29*'E2020'!$AC$29%+'E2020'!$D$32*'E2020'!$AC$32%+'E2020'!$D$33*'E2020'!$AC$33%+'E2020'!$D$34*'E2020'!$AC$34%+'E2020'!$D$35*'E2020'!$AC$35%+'E2020'!$D$36*'E2020'!$AC$36%+'E2020'!$D$37*'E2020'!$AC$37%+'E2020'!$D$38*'E2020'!$AC$38%+'E2020'!$D$41*'E2020'!$AC$41%+'E2020'!$D$42*'E2020'!$AC$42%+'E2020'!$D$43*'E2020'!$AC$43%+'E2020'!$D$44*'E2020'!$AC$44%+'E2020'!$D$45*'E2020'!$AC$45%+'E2020'!$D$48*'E2020'!$AC$48%+'E2020'!$D$49*'E2020'!$AC$49%+'E2020'!$D$50*'E2020'!$AC$50%+'E2020'!$D$51*'E2020'!$AC$51%+'E2020'!$D$52*'E2020'!$AC$52%+'E2020'!$D$53*'E2020'!$AC$53%+'E2020'!$D$54*'E2020'!$AC$54%</f>
        <v>0</v>
      </c>
      <c r="D1157" s="24"/>
      <c r="F1157" s="140"/>
      <c r="G1157" s="140"/>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f>'E2020'!$I$28*'E2020'!$AC$28%+'E2020'!$I$29*'E2020'!$AC$29%+'E2020'!$I$32*'E2020'!$AC$32%+'E2020'!$I$33*'E2020'!$AC$33%+'E2020'!$I$34*'E2020'!$AC$34%+'E2020'!$I$35*'E2020'!$AC$35%+'E2020'!$I$36*'E2020'!$AC$36%+'E2020'!$I$37*'E2020'!$AC$37%+'E2020'!$I$38*'E2020'!$AC$38%+'E2020'!$I$41*'E2020'!$AC$41%+'E2020'!$I$42*'E2020'!$AC$42%+'E2020'!$I$43*'E2020'!$AC$43%+'E2020'!$I$44*'E2020'!$AC$44%+'E2020'!$I$45*'E2020'!$AC$45%+'E2020'!$I$48*'E2020'!$AC$48%+'E2020'!$I$49*'E2020'!$AC$49%+'E2020'!$I$50*'E2020'!$AC$50%+'E2020'!$I$51*'E2020'!$AC$51%+'E2020'!$I$52*'E2020'!$AC$52%+'E2020'!$I$53*'E2020'!$AC$53%+'E2020'!$I$54*'E2020'!$AC$54%</f>
        <v>31.065800000000003</v>
      </c>
      <c r="D1158" s="24"/>
      <c r="F1158" s="140"/>
      <c r="G1158" s="140"/>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f>'E2020'!$Z$28*'E2020'!$AC$28%+'E2020'!$Z$29*'E2020'!$AC$29%+'E2020'!$Z$32*'E2020'!$AC$32%+'E2020'!$Z$33*'E2020'!$AC$33%+'E2020'!$Z$34*'E2020'!$AC$34%+'E2020'!$Z$35*'E2020'!$AC$35%+'E2020'!$Z$36*'E2020'!$AC$36%+'E2020'!$Z$37*'E2020'!$AC$37%+'E2020'!$Z$38*'E2020'!$AC$38%+'E2020'!$Z$41*'E2020'!$AC$41%+'E2020'!$Z$42*'E2020'!$AC$42%+'E2020'!$Z$43*'E2020'!$AC$43%+'E2020'!$Z$44*'E2020'!$AC$44%+'E2020'!$Z$45*'E2020'!$AC$45%+'E2020'!$Z$48*'E2020'!$AC$48%+'E2020'!$Z$49*'E2020'!$AC$49%+'E2020'!$Z$50*'E2020'!$AC$50%+'E2020'!$Z$51*'E2020'!$AC$51%+'E2020'!$Z$52*'E2020'!$AC$52%+'E2020'!$Z$53*'E2020'!$AC$53%+'E2020'!$Z$54*'E2020'!$AC$54%</f>
        <v>0</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f>'E2020'!$X$28*'E2020'!$AC$28%+'E2020'!$X$29*'E2020'!$AC$29%+'E2020'!$X$32*'E2020'!$AC$32%+'E2020'!$X$33*'E2020'!$AC$33%+'E2020'!$X$34*'E2020'!$AC$34%+'E2020'!$X$35*'E2020'!$AC$35%+'E2020'!$X$36*'E2020'!$AC$36%+'E2020'!$X$37*'E2020'!$AC$37%+'E2020'!$X$38*'E2020'!$AC$38%+'E2020'!$X$41*'E2020'!$AC$41%+'E2020'!$X$42*'E2020'!$AC$42%+'E2020'!$X$43*'E2020'!$AC$43%+'E2020'!$X$44*'E2020'!$AC$44%+'E2020'!$X$45*'E2020'!$AC$45%+'E2020'!$X$48*'E2020'!$AC$48%+'E2020'!$X$49*'E2020'!$AC$49%+'E2020'!$X$50*'E2020'!$AC$50%+'E2020'!$X$51*'E2020'!$AC$51%+'E2020'!$X$52*'E2020'!$AC$52%+'E2020'!$X$53*'E2020'!$AC$53%+'E2020'!$X$54*'E2020'!$AC$54%</f>
        <v>0</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f>SUM('E2020'!$R$28:'E2020'!$W$28,'E2020'!$Y$28)*'E2020'!$AC$28%+SUM('E2020'!$R$29:'E2020'!$W$29,'E2020'!$Y$29)*'E2020'!$AC$29%+SUM('E2020'!$R$30:'E2020'!$W$30,'E2020'!$Y$30)*'E2020'!$AC$30%+SUM('E2020'!$R$33:'E2020'!$W$33,'E2020'!$Y$33)*'E2020'!$AC$33%+SUM('E2020'!$R$34:'E2020'!$W$34,'E2020'!$Y$34)*'E2020'!$AC$34%+SUM('E2020'!$R$35:'E2020'!$W$35,'E2020'!$Y$35)*'E2020'!$AC$35%+SUM('E2020'!$R$36:'E2020'!$W$36,'E2020'!$Y$36)*'E2020'!$AC$36%+SUM('E2020'!$R$37:'E2020'!$W$37,'E2020'!$Y$37)*'E2020'!$AC$37%+SUM('E2020'!$R$38:'E2020'!$W$38,'E2020'!$Y$38)*'E2020'!$AC$38%+SUM('E2020'!$R$41:'E2020'!$W$41,'E2020'!$Y$41)*'E2020'!$AC$41%+SUM('E2020'!$R$42:'E2020'!$W$42,'E2020'!$Y$42)*'E2020'!$AC$42%+SUM('E2020'!$R$43:'E2020'!$W$43,'E2020'!$Y$43)*'E2020'!$AC$43%+SUM('E2020'!$R$44:'E2020'!$W$44,'E2020'!$Y$44)*'E2020'!$AC$44%+SUM('E2020'!$R$45:'E2020'!$W$45,'E2020'!$Y$45)*'E2020'!$AC$45%+SUM('E2020'!$R$48:'E2020'!$W$48,'E2020'!$Y$48)*'E2020'!$AC$48%+SUM('E2020'!$R$49:'E2020'!$W$49,'E2020'!$Y$49)*'E2020'!$AC$49%+SUM('E2020'!$R$50:'E2020'!$W$50,'E2020'!$Y$50)*'E2020'!$AC$50%+SUM('E2020'!$R$51:'E2020'!$W$51,'E2020'!$Y$51)*'E2020'!$AC$51%+SUM('E2020'!$R$52:'E2020'!$W$52,'E2020'!$Y$52)*'E2020'!$AC$52%+SUM('E2020'!$R$53:'E2020'!$W$53,'E2020'!$Y$53)*'E2020'!$AC$53%+SUM('E2020'!$R$54:'E2020'!$W$54,'E2020'!$Y$54)*'E2020'!$AC$54%</f>
        <v>161.7364</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f>SUM('E2020'!$M$24:$M$25)</f>
        <v>945.45</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f>'E2020'!$O$23*'E2020'!$AC$23%</f>
        <v>35.5</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f>'E2020'!$N$26*'E2020'!$AC$26%</f>
        <v>0</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f>'E2020'!$AG$12</f>
        <v>-23.359213482718847</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1" t="s">
        <v>98</v>
      </c>
      <c r="C1166" s="92">
        <f>SUM(C1151:C1165)</f>
        <v>1150.4122465172811</v>
      </c>
      <c r="D1166" s="92">
        <f>SUM(D1151:D1165)</f>
        <v>1150.3929865172811</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4"/>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5"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2" t="s">
        <v>158</v>
      </c>
      <c r="C1199" s="103"/>
      <c r="D1199" s="103"/>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6" t="s">
        <v>159</v>
      </c>
      <c r="D1202" s="76" t="s">
        <v>159</v>
      </c>
      <c r="E1202" s="70"/>
      <c r="F1202" s="70"/>
      <c r="G1202" s="70"/>
      <c r="H1202" s="70"/>
      <c r="I1202" s="74"/>
      <c r="J1202" s="70"/>
      <c r="K1202" s="70"/>
      <c r="L1202" s="70"/>
      <c r="M1202" s="70"/>
      <c r="N1202" s="70"/>
      <c r="O1202" s="70"/>
      <c r="S1202" s="70"/>
      <c r="T1202" s="70"/>
      <c r="U1202" s="115"/>
      <c r="V1202" s="109"/>
      <c r="W1202" s="109"/>
      <c r="X1202" s="109"/>
      <c r="Y1202" s="109"/>
      <c r="Z1202" s="109"/>
      <c r="AA1202" s="109"/>
      <c r="AB1202" s="109"/>
      <c r="AC1202" s="109"/>
      <c r="AD1202" s="109"/>
      <c r="AE1202" s="109"/>
      <c r="AF1202" s="109"/>
      <c r="AG1202" s="109"/>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9"/>
      <c r="C1203" s="106" t="s">
        <v>148</v>
      </c>
      <c r="D1203" s="76" t="s">
        <v>149</v>
      </c>
      <c r="E1203" s="70"/>
      <c r="F1203" s="70"/>
      <c r="G1203" s="70"/>
      <c r="H1203" s="70"/>
      <c r="I1203" s="74"/>
      <c r="J1203" s="70"/>
      <c r="K1203" s="70"/>
      <c r="L1203" s="70"/>
      <c r="M1203" s="70"/>
      <c r="N1203" s="70"/>
      <c r="O1203" s="70"/>
      <c r="S1203" s="70"/>
      <c r="T1203" s="70"/>
      <c r="U1203" s="115"/>
      <c r="V1203" s="109"/>
      <c r="W1203" s="109"/>
      <c r="X1203" s="109"/>
      <c r="Y1203" s="109"/>
      <c r="Z1203" s="109"/>
      <c r="AA1203" s="109"/>
      <c r="AB1203" s="109"/>
      <c r="AC1203" s="109"/>
      <c r="AD1203" s="109"/>
      <c r="AE1203" s="109"/>
      <c r="AF1203" s="109"/>
      <c r="AG1203" s="109"/>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90" t="s">
        <v>149</v>
      </c>
      <c r="C1204" s="107"/>
      <c r="D1204" s="24">
        <f>SUM('E2020'!$AJ$33:$AJ$60)</f>
        <v>638.12599742399993</v>
      </c>
      <c r="E1204" s="117"/>
      <c r="F1204" s="117"/>
      <c r="G1204" s="117"/>
      <c r="H1204" s="117"/>
      <c r="I1204" s="74"/>
      <c r="J1204" s="117"/>
      <c r="K1204" s="117"/>
      <c r="L1204" s="117"/>
      <c r="M1204" s="117"/>
      <c r="N1204" s="117"/>
      <c r="O1204" s="117"/>
      <c r="S1204" s="120"/>
      <c r="T1204" s="120"/>
      <c r="U1204" s="115"/>
      <c r="V1204" s="119"/>
      <c r="W1204" s="119"/>
      <c r="X1204" s="119"/>
      <c r="Y1204" s="119"/>
      <c r="Z1204" s="119"/>
      <c r="AA1204" s="119"/>
      <c r="AB1204" s="112"/>
      <c r="AC1204" s="112"/>
      <c r="AD1204" s="112"/>
      <c r="AE1204" s="112"/>
      <c r="AF1204" s="112"/>
      <c r="AG1204" s="112"/>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90" t="s">
        <v>151</v>
      </c>
      <c r="C1205" s="107"/>
      <c r="D1205" s="24">
        <f>-('E2020'!$AI$33+'E2020'!$AJ$33)-('E2020'!$AI$36+'E2020'!$AJ$36)-('E2020'!$AI$43+'E2020'!$AJ$43)-('E2020'!$AI$51+'E2020'!$AJ$51)-('E2020'!$AI$60+'E2020'!$AJ$60)</f>
        <v>165.15446257599996</v>
      </c>
      <c r="E1205" s="117"/>
      <c r="F1205" s="117"/>
      <c r="G1205" s="117"/>
      <c r="H1205" s="117"/>
      <c r="I1205" s="74"/>
      <c r="J1205" s="117"/>
      <c r="K1205" s="117"/>
      <c r="L1205" s="117"/>
      <c r="M1205" s="117"/>
      <c r="N1205" s="117"/>
      <c r="O1205" s="117"/>
      <c r="S1205" s="120"/>
      <c r="T1205" s="120"/>
      <c r="U1205" s="115"/>
      <c r="V1205" s="112"/>
      <c r="W1205" s="112"/>
      <c r="X1205" s="112"/>
      <c r="Y1205" s="112"/>
      <c r="Z1205" s="112"/>
      <c r="AA1205" s="112"/>
      <c r="AB1205" s="112"/>
      <c r="AC1205" s="112"/>
      <c r="AD1205" s="112"/>
      <c r="AE1205" s="112"/>
      <c r="AF1205" s="112"/>
      <c r="AG1205" s="112"/>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6" t="s">
        <v>170</v>
      </c>
      <c r="C1206" s="107"/>
      <c r="D1206" s="24">
        <f>(-'E2020'!$AI$56)</f>
        <v>33.700000000000003</v>
      </c>
      <c r="E1206" s="117"/>
      <c r="F1206" s="117"/>
      <c r="G1206" s="117"/>
      <c r="H1206" s="117"/>
      <c r="I1206" s="74"/>
      <c r="J1206" s="117"/>
      <c r="K1206" s="117"/>
      <c r="L1206" s="117"/>
      <c r="M1206" s="117"/>
      <c r="N1206" s="117"/>
      <c r="O1206" s="117"/>
      <c r="S1206" s="120"/>
      <c r="T1206" s="120"/>
      <c r="U1206" s="115"/>
      <c r="V1206" s="112"/>
      <c r="W1206" s="112"/>
      <c r="X1206" s="112"/>
      <c r="Y1206" s="112"/>
      <c r="Z1206" s="112"/>
      <c r="AA1206" s="112"/>
      <c r="AB1206" s="112"/>
      <c r="AC1206" s="112"/>
      <c r="AD1206" s="112"/>
      <c r="AE1206" s="112"/>
      <c r="AF1206" s="112"/>
      <c r="AG1206" s="112"/>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90"/>
      <c r="C1207" s="107"/>
      <c r="D1207" s="24"/>
      <c r="E1207" s="117"/>
      <c r="F1207" s="117"/>
      <c r="G1207" s="117"/>
      <c r="H1207" s="117"/>
      <c r="I1207" s="74"/>
      <c r="J1207" s="117"/>
      <c r="K1207" s="117"/>
      <c r="L1207" s="117"/>
      <c r="M1207" s="117"/>
      <c r="N1207" s="117"/>
      <c r="O1207" s="117"/>
      <c r="S1207" s="120"/>
      <c r="T1207" s="120"/>
      <c r="U1207" s="115"/>
      <c r="V1207" s="112"/>
      <c r="W1207" s="112"/>
      <c r="X1207" s="112"/>
      <c r="Y1207" s="112"/>
      <c r="Z1207" s="112"/>
      <c r="AA1207" s="112"/>
      <c r="AB1207" s="112"/>
      <c r="AC1207" s="112"/>
      <c r="AD1207" s="112"/>
      <c r="AE1207" s="112"/>
      <c r="AF1207" s="112"/>
      <c r="AG1207" s="112"/>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90" t="s">
        <v>153</v>
      </c>
      <c r="C1208" s="107">
        <f>'E2020'!$AI$29+'E2020'!$AI$34+'E2020'!$AI$37+'E2020'!$AI$44+'E2020'!$AI$52</f>
        <v>281.46629999999999</v>
      </c>
      <c r="D1208" s="24"/>
      <c r="E1208" s="117"/>
      <c r="F1208" s="117"/>
      <c r="G1208" s="117"/>
      <c r="H1208" s="117"/>
      <c r="I1208" s="74"/>
      <c r="J1208" s="117"/>
      <c r="K1208" s="117"/>
      <c r="L1208" s="117"/>
      <c r="M1208" s="117"/>
      <c r="N1208" s="117"/>
      <c r="O1208" s="117"/>
      <c r="S1208" s="120"/>
      <c r="T1208" s="120"/>
      <c r="U1208" s="115"/>
      <c r="V1208" s="112"/>
      <c r="W1208" s="112"/>
      <c r="X1208" s="112"/>
      <c r="Y1208" s="112"/>
      <c r="Z1208" s="112"/>
      <c r="AA1208" s="112"/>
      <c r="AB1208" s="112"/>
      <c r="AC1208" s="112"/>
      <c r="AD1208" s="112"/>
      <c r="AE1208" s="112"/>
      <c r="AF1208" s="112"/>
      <c r="AG1208" s="112"/>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90" t="s">
        <v>160</v>
      </c>
      <c r="C1209" s="107">
        <f>'E2020'!$AI$30+'E2020'!$AI$35+'E2020'!$AI$38+'E2020'!$AI$45+'E2020'!$AI$53</f>
        <v>472.17815999999999</v>
      </c>
      <c r="D1209" s="24"/>
      <c r="E1209" s="117"/>
      <c r="F1209" s="117"/>
      <c r="G1209" s="117"/>
      <c r="H1209" s="117"/>
      <c r="I1209" s="74"/>
      <c r="J1209" s="117"/>
      <c r="K1209" s="117"/>
      <c r="L1209" s="117"/>
      <c r="M1209" s="117"/>
      <c r="N1209" s="117"/>
      <c r="O1209" s="117"/>
      <c r="S1209" s="120"/>
      <c r="T1209" s="120"/>
      <c r="U1209" s="115"/>
      <c r="V1209" s="115"/>
      <c r="W1209" s="115"/>
      <c r="X1209" s="115"/>
      <c r="Y1209" s="115"/>
      <c r="Z1209" s="115"/>
      <c r="AA1209" s="115"/>
      <c r="AB1209" s="112"/>
      <c r="AC1209" s="112"/>
      <c r="AD1209" s="112"/>
      <c r="AE1209" s="112"/>
      <c r="AF1209" s="112"/>
      <c r="AG1209" s="112"/>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90" t="s">
        <v>161</v>
      </c>
      <c r="C1210" s="107">
        <f>'E2020'!$AI$31+'E2020'!$AI$32+'E2020'!$AI$39+'E2020'!$AI$40+'E2020'!$AI$46+'E2020'!$AI$47</f>
        <v>0</v>
      </c>
      <c r="D1210" s="24"/>
      <c r="E1210" s="117"/>
      <c r="F1210" s="117"/>
      <c r="G1210" s="117"/>
      <c r="H1210" s="117"/>
      <c r="I1210" s="74"/>
      <c r="J1210" s="117"/>
      <c r="K1210" s="117"/>
      <c r="L1210" s="117"/>
      <c r="M1210" s="117"/>
      <c r="N1210" s="117"/>
      <c r="O1210" s="117"/>
      <c r="S1210" s="120"/>
      <c r="T1210" s="120"/>
      <c r="U1210" s="115"/>
      <c r="V1210" s="115"/>
      <c r="W1210" s="115"/>
      <c r="X1210" s="115"/>
      <c r="Y1210" s="115"/>
      <c r="Z1210" s="115"/>
      <c r="AA1210" s="115"/>
      <c r="AB1210" s="112"/>
      <c r="AC1210" s="112"/>
      <c r="AD1210" s="112"/>
      <c r="AE1210" s="112"/>
      <c r="AF1210" s="112"/>
      <c r="AG1210" s="112"/>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90" t="s">
        <v>162</v>
      </c>
      <c r="C1211" s="107">
        <f>'E2020'!$AI$41+'E2020'!$AI$48</f>
        <v>57.036000000000001</v>
      </c>
      <c r="D1211" s="24"/>
      <c r="E1211" s="117"/>
      <c r="F1211" s="117"/>
      <c r="G1211" s="117"/>
      <c r="H1211" s="117"/>
      <c r="I1211" s="74"/>
      <c r="J1211" s="120"/>
      <c r="K1211" s="120"/>
      <c r="L1211" s="120"/>
      <c r="M1211" s="120"/>
      <c r="N1211" s="120"/>
      <c r="O1211" s="120"/>
      <c r="S1211" s="120"/>
      <c r="T1211" s="120"/>
      <c r="U1211" s="115"/>
      <c r="V1211" s="112"/>
      <c r="W1211" s="112"/>
      <c r="X1211" s="112"/>
      <c r="Y1211" s="112"/>
      <c r="Z1211" s="112"/>
      <c r="AA1211" s="112"/>
      <c r="AB1211" s="112"/>
      <c r="AC1211" s="112"/>
      <c r="AD1211" s="112"/>
      <c r="AE1211" s="112"/>
      <c r="AF1211" s="112"/>
      <c r="AG1211" s="112"/>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90" t="s">
        <v>176</v>
      </c>
      <c r="C1212" s="107">
        <f>'E2020'!$AI$42+'E2020'!$AI$49</f>
        <v>0</v>
      </c>
      <c r="D1212" s="24"/>
      <c r="E1212" s="117"/>
      <c r="F1212" s="117"/>
      <c r="G1212" s="117"/>
      <c r="H1212" s="117"/>
      <c r="I1212" s="74"/>
      <c r="J1212" s="120"/>
      <c r="K1212" s="120"/>
      <c r="L1212" s="120"/>
      <c r="M1212" s="120"/>
      <c r="N1212" s="120"/>
      <c r="O1212" s="120"/>
      <c r="S1212" s="120"/>
      <c r="T1212" s="120"/>
      <c r="U1212" s="115"/>
      <c r="V1212" s="112"/>
      <c r="W1212" s="112"/>
      <c r="X1212" s="112"/>
      <c r="Y1212" s="112"/>
      <c r="Z1212" s="112"/>
      <c r="AA1212" s="112"/>
      <c r="AB1212" s="112"/>
      <c r="AC1212" s="112"/>
      <c r="AD1212" s="112"/>
      <c r="AE1212" s="112"/>
      <c r="AF1212" s="112"/>
      <c r="AG1212" s="112"/>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90" t="s">
        <v>175</v>
      </c>
      <c r="C1213" s="107">
        <f>'E2020'!$AI$50+'E2020'!$AI$54</f>
        <v>26.3</v>
      </c>
      <c r="D1213" s="24"/>
      <c r="E1213" s="117"/>
      <c r="F1213" s="117"/>
      <c r="G1213" s="117"/>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1" t="s">
        <v>98</v>
      </c>
      <c r="C1214" s="92">
        <f>SUM(C1204:C1213)</f>
        <v>836.98045999999999</v>
      </c>
      <c r="D1214" s="92">
        <f>SUM(D1204:D1213)</f>
        <v>836.98045999999999</v>
      </c>
      <c r="E1214" s="87"/>
      <c r="F1214" s="121"/>
      <c r="G1214" s="34"/>
      <c r="I1214" s="94"/>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5"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6"/>
      <c r="D1244" s="96"/>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6"/>
      <c r="D1245" s="96"/>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f>SUM('E2020'!$AJ$33:$AJ$60)</f>
        <v>638.12599742399993</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f>-('E2020'!$AI$33+'E2020'!$AJ$33)-('E2020'!$AI$36+'E2020'!$AJ$36)-('E2020'!$AI$43+'E2020'!$AJ$43)-('E2020'!$AI$51+'E2020'!$AJ$51)-('E2020'!$AI$60+'E2020'!$AJ$60)</f>
        <v>165.15446257599996</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6" t="s">
        <v>170</v>
      </c>
      <c r="C1251" s="194"/>
      <c r="D1251" s="116">
        <f>(-'E2020'!$AI$56)</f>
        <v>33.700000000000003</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f>'E2020'!$E$28*'E2020'!$AE$28%+'E2020'!$E$29*'E2020'!$AE$29%+'E2020'!$E$30*'E2020'!$AE$30%+'E2020'!$E$33*'E2020'!$AE$33%+'E2020'!$E$34*'E2020'!$AE$34%+'E2020'!$E$35*'E2020'!$AE$35%+'E2020'!$E$36*'E2020'!$AE$36%+'E2020'!$E$37*'E2020'!$AE$37%+'E2020'!$E$38*'E2020'!$AE$38%+'E2020'!$E$41*'E2020'!$AE$41%+'E2020'!$E$42*'E2020'!$AE$42%+'E2020'!$E$43*'E2020'!$AE$43%+'E2020'!$E$44*'E2020'!$AE$44%+'E2020'!$E$45*'E2020'!$AE$45%+'E2020'!$E$48*'E2020'!$AE$48%+'E2020'!$E$49*'E2020'!$AE$49%+'E2020'!$E$50*'E2020'!$AE$50%+'E2020'!$E$51*'E2020'!$AE$51%+'E2020'!$E$52*'E2020'!$AE$52%+'E2020'!$E$53*'E2020'!$AE$53%+'E2020'!$E$54*'E2020'!$AE$54%</f>
        <v>1.9259999999999999E-2</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f>'E2020'!$C$28*'E2020'!$AE$28%+'E2020'!$C$29*'E2020'!$AE$29%+'E2020'!$C$32*'E2020'!$AE$32%+'E2020'!$C$33*'E2020'!$AE$33%+'E2020'!$C$34*'E2020'!$AE$34%+'E2020'!$C$35*'E2020'!$AE$35%+'E2020'!$C$36*'E2020'!$AE$36%+'E2020'!$C$37*'E2020'!$AE$37%+'E2020'!$C$38*'E2020'!$AE$38%+'E2020'!$C$41*'E2020'!$AE$41%+'E2020'!$C$42*'E2020'!$AE$42%+'E2020'!$C$43*'E2020'!$AE$43%+'E2020'!$C$44*'E2020'!$AE$44%+'E2020'!$C$45*'E2020'!$AE$45%+'E2020'!$C$48*'E2020'!$AE$48%+'E2020'!$C$49*'E2020'!$AE$49%+'E2020'!$C$50*'E2020'!$AE$50%+'E2020'!$C$51*'E2020'!$AE$51%+'E2020'!$C$52*'E2020'!$AE$52%+'E2020'!$C$53*'E2020'!$AE$53%+'E2020'!$C$54*'E2020'!$AE$54%</f>
        <v>0</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f>'E2020'!$D$28*'E2020'!$AE$28%+'E2020'!$D$29*'E2020'!$AE$29%+'E2020'!$D$32*'E2020'!$AE$32%+'E2020'!$D$33*'E2020'!$AE$33%+'E2020'!$D$34*'E2020'!$AE$34%+'E2020'!$D$35*'E2020'!$AE$35%+'E2020'!$D$36*'E2020'!$AE$36%+'E2020'!$D$37*'E2020'!$AE$37%+'E2020'!$D$38*'E2020'!$AE$38%+'E2020'!$D$41*'E2020'!$AE$41%+'E2020'!$D$42*'E2020'!$AE$42%+'E2020'!$D$43*'E2020'!$AE$43%+'E2020'!$D$44*'E2020'!$AE$44%+'E2020'!$D$45*'E2020'!$AE$45%+'E2020'!$D$48*'E2020'!$AE$48%+'E2020'!$D$49*'E2020'!$AE$49%+'E2020'!$D$50*'E2020'!$AE$50%+'E2020'!$D$51*'E2020'!$AE$51%+'E2020'!$D$52*'E2020'!$AE$52%+'E2020'!$D$53*'E2020'!$AE$53%+'E2020'!$D$54*'E2020'!$AE$54%</f>
        <v>0</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f>'E2020'!$I$28*'E2020'!$AE$28%+'E2020'!$I$29*'E2020'!$AE$29%+'E2020'!$I$32*'E2020'!$AE$32%+'E2020'!$I$33*'E2020'!$AE$33%+'E2020'!$I$34*'E2020'!$AE$34%+'E2020'!$I$35*'E2020'!$AE$35%+'E2020'!$I$36*'E2020'!$AE$36%+'E2020'!$I$37*'E2020'!$AE$37%+'E2020'!$I$38*'E2020'!$AE$38%+'E2020'!$I$41*'E2020'!$AE$41%+'E2020'!$I$42*'E2020'!$AE$42%+'E2020'!$I$43*'E2020'!$AE$43%+'E2020'!$I$44*'E2020'!$AE$44%+'E2020'!$I$45*'E2020'!$AE$45%+'E2020'!$I$48*'E2020'!$AE$48%+'E2020'!$I$49*'E2020'!$AE$49%+'E2020'!$I$50*'E2020'!$AE$50%+'E2020'!$I$51*'E2020'!$AE$51%+'E2020'!$I$52*'E2020'!$AE$52%+'E2020'!$I$53*'E2020'!$AE$53%+'E2020'!$I$54*'E2020'!$AE$54%</f>
        <v>119.2098</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f>'E2020'!$Z$28*'E2020'!$AE$28%+'E2020'!$Z$29*'E2020'!$AE$29%+'E2020'!$Z$32*'E2020'!$AE$32%+'E2020'!$Z$33*'E2020'!$AE$33%+'E2020'!$Z$34*'E2020'!$AE$34%+'E2020'!$Z$35*'E2020'!$AE$35%+'E2020'!$Z$36*'E2020'!$AE$36%+'E2020'!$Z$37*'E2020'!$AE$37%+'E2020'!$Z$38*'E2020'!$AE$38%+'E2020'!$Z$41*'E2020'!$AE$41%+'E2020'!$Z$42*'E2020'!$AE$42%+'E2020'!$Z$43*'E2020'!$AE$43%+'E2020'!$Z$44*'E2020'!$AE$44%+'E2020'!$Z$45*'E2020'!$AE$45%+'E2020'!$Z$48*'E2020'!$AE$48%+'E2020'!$Z$49*'E2020'!$AE$49%+'E2020'!$Z$50*'E2020'!$AE$50%+'E2020'!$Z$51*'E2020'!$AE$51%+'E2020'!$Z$52*'E2020'!$AE$52%+'E2020'!$Z$53*'E2020'!$AE$53%+'E2020'!$Z$54*'E2020'!$AE$54%</f>
        <v>0</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f>'E2020'!$X$28*'E2020'!$AE$28%+'E2020'!$X$29*'E2020'!$AE$29%+'E2020'!$X$32*'E2020'!$AE$32%+'E2020'!$X$33*'E2020'!$AE$33%+'E2020'!$X$34*'E2020'!$AE$34%+'E2020'!$X$35*'E2020'!$AE$35%+'E2020'!$X$36*'E2020'!$AE$36%+'E2020'!$X$37*'E2020'!$AE$37%+'E2020'!$X$38*'E2020'!$AE$38%+'E2020'!$X$41*'E2020'!$AE$41%+'E2020'!$X$42*'E2020'!$AE$42%+'E2020'!$X$43*'E2020'!$AE$43%+'E2020'!$X$44*'E2020'!$AE$44%+'E2020'!$X$45*'E2020'!$AE$45%+'E2020'!$X$48*'E2020'!$AE$48%+'E2020'!$X$49*'E2020'!$AE$49%+'E2020'!$X$50*'E2020'!$AE$50%+'E2020'!$X$51*'E2020'!$AE$51%+'E2020'!$X$52*'E2020'!$AE$52%+'E2020'!$X$53*'E2020'!$AE$53%+'E2020'!$X$54*'E2020'!$AE$54%</f>
        <v>0</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f>SUM('E2020'!$R$28:'E2020'!$W$28,'E2020'!$Y$28)*'E2020'!$AE$28%+SUM('E2020'!$R$29:'E2020'!$W$29,'E2020'!$Y$29)*'E2020'!$AE$29%+SUM('E2020'!$R$30:'E2020'!$W$30,'E2020'!$Y$30)*'E2020'!$AE$30%+SUM('E2020'!$R$33:'E2020'!$W$33,'E2020'!$Y$33)*'E2020'!$AE$33%+SUM('E2020'!$R$34:'E2020'!$W$34,'E2020'!$Y$34)*'E2020'!$AE$34%+SUM('E2020'!$R$35:'E2020'!$W$35,'E2020'!$Y$35)*'E2020'!$AE$35%+SUM('E2020'!$R$36:'E2020'!$W$36,'E2020'!$Y$36)*'E2020'!$AE$36%+SUM('E2020'!$R$37:'E2020'!$W$37,'E2020'!$Y$37)*'E2020'!$AE$37%+SUM('E2020'!$R$38:'E2020'!$W$38,'E2020'!$Y$38)*'E2020'!$AE$38%+SUM('E2020'!$R$41:'E2020'!$W$41,'E2020'!$Y$41)*'E2020'!$AE$41%+SUM('E2020'!$R$42:'E2020'!$W$42,'E2020'!$Y$42)*'E2020'!$AE$42%+SUM('E2020'!$R$43:'E2020'!$W$43,'E2020'!$Y$43)*'E2020'!$AE$43%+SUM('E2020'!$R$44:'E2020'!$W$44,'E2020'!$Y$44)*'E2020'!$AE$44%+SUM('E2020'!$R$45:'E2020'!$W$45,'E2020'!$Y$45)*'E2020'!$AE$45%+SUM('E2020'!$R$48:'E2020'!$W$48,'E2020'!$Y$48)*'E2020'!$AE$48%+SUM('E2020'!$R$49:'E2020'!$W$49,'E2020'!$Y$49)*'E2020'!$AE$49%+SUM('E2020'!$R$50:'E2020'!$W$50,'E2020'!$Y$50)*'E2020'!$AE$50%+SUM('E2020'!$R$51:'E2020'!$W$51,'E2020'!$Y$51)*'E2020'!$AE$51%+SUM('E2020'!$R$52:'E2020'!$W$52,'E2020'!$Y$52)*'E2020'!$AE$52%+SUM('E2020'!$R$53:'E2020'!$W$53,'E2020'!$Y$53)*'E2020'!$AE$53%+SUM('E2020'!$R$54:'E2020'!$W$54,'E2020'!$Y$54)*'E2020'!$AE$54%</f>
        <v>634.41540000000009</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f>'E2020'!$AI$31+'E2020'!$AI$32+'E2020'!$AI$39+'E2020'!$AI$40+'E2020'!$AI$46+'E2020'!$AI$47</f>
        <v>0</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f>'E2020'!$O$41*'E2020'!$AE$41%+'E2020'!$O$48*'E2020'!$AE$48%</f>
        <v>57.036000000000001</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5">
        <f>'E2020'!$P$42*'E2020'!$AE$42%+'E2020'!$P$49*'E2020'!$AE$49%</f>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f>'E2020'!$AI$50+'E2020'!$AI$54</f>
        <v>26.3</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1" t="s">
        <v>98</v>
      </c>
      <c r="C1264" s="92">
        <f>SUM(C1249:C1263)</f>
        <v>836.98045999999999</v>
      </c>
      <c r="D1264" s="92">
        <f>SUM(D1249:D1263)</f>
        <v>836.98045999999999</v>
      </c>
      <c r="F1264" s="122"/>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4"/>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5"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2"/>
      <c r="C1295" s="103"/>
      <c r="D1295" s="103"/>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2"/>
      <c r="C1296" s="103"/>
      <c r="D1296" s="103"/>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2"/>
      <c r="C1297" s="103"/>
      <c r="D1297" s="103"/>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2"/>
      <c r="C1298" s="103"/>
      <c r="D1298" s="103"/>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2"/>
      <c r="C1299" s="103"/>
      <c r="D1299" s="103"/>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2"/>
      <c r="C1300" s="103"/>
      <c r="D1300" s="103"/>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2"/>
      <c r="C1301" s="103"/>
      <c r="D1301" s="103"/>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2"/>
      <c r="C1302" s="103"/>
      <c r="D1302" s="103"/>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2"/>
      <c r="C1303" s="103"/>
      <c r="D1303" s="103"/>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2"/>
      <c r="C1304" s="103"/>
      <c r="D1304" s="103"/>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2"/>
      <c r="C1305" s="103"/>
      <c r="D1305" s="103"/>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2"/>
      <c r="C1306" s="103"/>
      <c r="D1306" s="103"/>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2"/>
      <c r="C1307" s="103"/>
      <c r="D1307" s="103"/>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2"/>
      <c r="C1308" s="103"/>
      <c r="D1308" s="103"/>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2"/>
      <c r="C1309" s="103"/>
      <c r="D1309" s="103"/>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2"/>
      <c r="C1310" s="103"/>
      <c r="D1310" s="103"/>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2"/>
      <c r="C1311" s="103"/>
      <c r="D1311" s="103"/>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2"/>
      <c r="C1312" s="103"/>
      <c r="D1312" s="103"/>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2"/>
      <c r="C1313" s="103"/>
      <c r="D1313" s="103"/>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2"/>
      <c r="C1314" s="103"/>
      <c r="D1314" s="103"/>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2"/>
      <c r="C1315" s="103"/>
      <c r="D1315" s="103"/>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2"/>
      <c r="C1316" s="103"/>
      <c r="D1316" s="103"/>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2"/>
      <c r="C1317" s="103"/>
      <c r="D1317" s="103"/>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2"/>
      <c r="C1318" s="103"/>
      <c r="D1318" s="103"/>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2"/>
      <c r="C1319" s="103"/>
      <c r="D1319" s="103"/>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2"/>
      <c r="C1320" s="103"/>
      <c r="D1320" s="103"/>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2"/>
      <c r="C1321" s="103"/>
      <c r="D1321" s="103"/>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2"/>
      <c r="C1322" s="103"/>
      <c r="D1322" s="103"/>
      <c r="E1322" s="65"/>
      <c r="F1322" s="65"/>
      <c r="G1322" s="65"/>
      <c r="H1322" s="65"/>
      <c r="I1322" s="65"/>
      <c r="J1322" s="65"/>
      <c r="K1322" s="65"/>
      <c r="L1322" s="65"/>
      <c r="M1322" s="65"/>
      <c r="N1322" s="65"/>
      <c r="O1322" s="65"/>
      <c r="P1322" s="65"/>
      <c r="Q1322" s="65"/>
      <c r="R1322" s="65"/>
      <c r="S1322" s="109"/>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2"/>
      <c r="C1323" s="103"/>
      <c r="D1323" s="103"/>
      <c r="E1323" s="65"/>
      <c r="F1323" s="65"/>
      <c r="G1323" s="65"/>
      <c r="H1323" s="65"/>
      <c r="I1323" s="65"/>
      <c r="J1323" s="65"/>
      <c r="K1323" s="65"/>
      <c r="L1323" s="65"/>
      <c r="M1323" s="65"/>
      <c r="N1323" s="65"/>
      <c r="O1323" s="65"/>
      <c r="P1323" s="65"/>
      <c r="Q1323" s="65"/>
      <c r="R1323" s="65"/>
      <c r="S1323" s="109"/>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2"/>
      <c r="C1324" s="103"/>
      <c r="D1324" s="103"/>
      <c r="E1324" s="65"/>
      <c r="F1324" s="65"/>
      <c r="G1324" s="65"/>
      <c r="H1324" s="65"/>
      <c r="I1324" s="65"/>
      <c r="J1324" s="65"/>
      <c r="K1324" s="65"/>
      <c r="L1324" s="65"/>
      <c r="M1324" s="65"/>
      <c r="N1324" s="65"/>
      <c r="O1324" s="65"/>
      <c r="P1324" s="65"/>
      <c r="Q1324" s="65"/>
      <c r="R1324" s="65"/>
      <c r="S1324" s="118"/>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2"/>
      <c r="C1325" s="103"/>
      <c r="D1325" s="103"/>
      <c r="E1325" s="65"/>
      <c r="F1325" s="65"/>
      <c r="G1325" s="65"/>
      <c r="H1325" s="65"/>
      <c r="I1325" s="65"/>
      <c r="J1325" s="65"/>
      <c r="K1325" s="65"/>
      <c r="L1325" s="65"/>
      <c r="M1325" s="65"/>
      <c r="N1325" s="65"/>
      <c r="O1325" s="65"/>
      <c r="P1325" s="65"/>
      <c r="Q1325" s="65"/>
      <c r="R1325" s="65"/>
      <c r="S1325" s="118"/>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2"/>
      <c r="C1326" s="103"/>
      <c r="D1326" s="103"/>
      <c r="E1326" s="65"/>
      <c r="F1326" s="65"/>
      <c r="G1326" s="65"/>
      <c r="H1326" s="65"/>
      <c r="I1326" s="65"/>
      <c r="J1326" s="65"/>
      <c r="K1326" s="65"/>
      <c r="L1326" s="65"/>
      <c r="M1326" s="65"/>
      <c r="N1326" s="65"/>
      <c r="O1326" s="65"/>
      <c r="P1326" s="65"/>
      <c r="Q1326" s="65"/>
      <c r="R1326" s="65"/>
      <c r="S1326" s="118"/>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2"/>
      <c r="C1327" s="103"/>
      <c r="D1327" s="103"/>
      <c r="E1327" s="65"/>
      <c r="F1327" s="65"/>
      <c r="G1327" s="65"/>
      <c r="H1327" s="65"/>
      <c r="I1327" s="65"/>
      <c r="J1327" s="65"/>
      <c r="K1327" s="65"/>
      <c r="L1327" s="65"/>
      <c r="M1327" s="65"/>
      <c r="N1327" s="65"/>
      <c r="O1327" s="65"/>
      <c r="P1327" s="65"/>
      <c r="Q1327" s="65"/>
      <c r="R1327" s="65"/>
      <c r="S1327" s="118"/>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2"/>
      <c r="C1328" s="103"/>
      <c r="D1328" s="103"/>
      <c r="E1328" s="65"/>
      <c r="F1328" s="65"/>
      <c r="G1328" s="65"/>
      <c r="H1328" s="65"/>
      <c r="I1328" s="65"/>
      <c r="J1328" s="65"/>
      <c r="K1328" s="65"/>
      <c r="L1328" s="65"/>
      <c r="M1328" s="65"/>
      <c r="N1328" s="65"/>
      <c r="O1328" s="65"/>
      <c r="P1328" s="65"/>
      <c r="Q1328" s="65"/>
      <c r="R1328" s="65"/>
      <c r="S1328" s="118"/>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2"/>
      <c r="C1329" s="103"/>
      <c r="D1329" s="103"/>
      <c r="E1329" s="65"/>
      <c r="F1329" s="65"/>
      <c r="G1329" s="65"/>
      <c r="H1329" s="65"/>
      <c r="I1329" s="65"/>
      <c r="J1329" s="65"/>
      <c r="K1329" s="65"/>
      <c r="L1329" s="65"/>
      <c r="M1329" s="65"/>
      <c r="N1329" s="65"/>
      <c r="O1329" s="65"/>
      <c r="P1329" s="65"/>
      <c r="Q1329" s="65"/>
      <c r="R1329" s="65"/>
      <c r="S1329" s="118"/>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2"/>
      <c r="C1330" s="103"/>
      <c r="D1330" s="103"/>
      <c r="E1330" s="65"/>
      <c r="F1330" s="65"/>
      <c r="G1330" s="65"/>
      <c r="H1330" s="65"/>
      <c r="I1330" s="65"/>
      <c r="J1330" s="65"/>
      <c r="K1330" s="65"/>
      <c r="L1330" s="65"/>
      <c r="M1330" s="65"/>
      <c r="N1330" s="65"/>
      <c r="O1330" s="65"/>
      <c r="P1330" s="65"/>
      <c r="Q1330" s="65"/>
      <c r="R1330" s="65"/>
      <c r="S1330" s="118"/>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2"/>
      <c r="C1331" s="103"/>
      <c r="D1331" s="103"/>
      <c r="E1331" s="65"/>
      <c r="F1331" s="65"/>
      <c r="G1331" s="65"/>
      <c r="H1331" s="65"/>
      <c r="I1331" s="65"/>
      <c r="J1331" s="65"/>
      <c r="K1331" s="65"/>
      <c r="L1331" s="65"/>
      <c r="M1331" s="65"/>
      <c r="N1331" s="65"/>
      <c r="O1331" s="65"/>
      <c r="P1331" s="65"/>
      <c r="Q1331" s="65"/>
      <c r="R1331" s="65"/>
      <c r="S1331" s="118"/>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2"/>
      <c r="C1332" s="103"/>
      <c r="D1332" s="103"/>
      <c r="E1332" s="65"/>
      <c r="F1332" s="65"/>
      <c r="G1332" s="65"/>
      <c r="H1332" s="65"/>
      <c r="I1332" s="65"/>
      <c r="J1332" s="65"/>
      <c r="K1332" s="65"/>
      <c r="L1332" s="65"/>
      <c r="M1332" s="65"/>
      <c r="N1332" s="65"/>
      <c r="O1332" s="65"/>
      <c r="P1332" s="65"/>
      <c r="Q1332" s="65"/>
      <c r="R1332" s="65"/>
      <c r="S1332" s="103"/>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2"/>
      <c r="C1333" s="103"/>
      <c r="D1333" s="103"/>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2"/>
      <c r="C1334" s="103"/>
      <c r="D1334" s="103"/>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2"/>
      <c r="C1335" s="103"/>
      <c r="D1335" s="103"/>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2"/>
      <c r="C1336" s="103"/>
      <c r="D1336" s="103"/>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2"/>
      <c r="C1337" s="103"/>
      <c r="D1337" s="103"/>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2"/>
      <c r="C1338" s="103"/>
      <c r="D1338" s="103"/>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2"/>
      <c r="C1339" s="103"/>
      <c r="D1339" s="103"/>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2"/>
      <c r="C1340" s="103"/>
      <c r="D1340" s="103"/>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2"/>
      <c r="C1341" s="103"/>
      <c r="D1341" s="103"/>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2"/>
      <c r="C1342" s="103"/>
      <c r="D1342" s="103"/>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2"/>
      <c r="C1343" s="103"/>
      <c r="D1343" s="103"/>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2"/>
      <c r="C1344" s="103"/>
      <c r="D1344" s="103"/>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2"/>
      <c r="C1345" s="103"/>
      <c r="D1345" s="103"/>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2"/>
      <c r="C1346" s="103"/>
      <c r="D1346" s="103"/>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2"/>
      <c r="C1347" s="103"/>
      <c r="D1347" s="103"/>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2"/>
      <c r="C1348" s="103"/>
      <c r="D1348" s="103"/>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2"/>
      <c r="C1349" s="103"/>
      <c r="D1349" s="103"/>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2"/>
      <c r="C1350" s="103"/>
      <c r="D1350" s="103"/>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2"/>
      <c r="C1351" s="103"/>
      <c r="D1351" s="103"/>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2"/>
      <c r="C1352" s="103"/>
      <c r="D1352" s="103"/>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2"/>
      <c r="C1353" s="103"/>
      <c r="D1353" s="103"/>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2"/>
      <c r="C1354" s="103"/>
      <c r="D1354" s="103"/>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2"/>
      <c r="C1355" s="103"/>
      <c r="D1355" s="103"/>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2"/>
      <c r="C1356" s="103"/>
      <c r="D1356" s="103"/>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2"/>
      <c r="C1357" s="103"/>
      <c r="D1357" s="103"/>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2"/>
      <c r="C1358" s="103"/>
      <c r="D1358" s="103"/>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2"/>
      <c r="C1359" s="103"/>
      <c r="D1359" s="103"/>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2"/>
      <c r="C1360" s="103"/>
      <c r="D1360" s="103"/>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2"/>
      <c r="C1361" s="103"/>
      <c r="D1361" s="103"/>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2"/>
      <c r="C1362" s="103"/>
      <c r="D1362" s="103"/>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2"/>
      <c r="C1363" s="103"/>
      <c r="D1363" s="103"/>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2"/>
      <c r="C1364" s="103"/>
      <c r="D1364" s="103"/>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2"/>
      <c r="C1365" s="103"/>
      <c r="D1365" s="103"/>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2"/>
      <c r="C1366" s="103"/>
      <c r="D1366" s="103"/>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2"/>
      <c r="C1367" s="103"/>
      <c r="D1367" s="103"/>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2"/>
      <c r="C1368" s="103"/>
      <c r="D1368" s="103"/>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2"/>
      <c r="C1369" s="103"/>
      <c r="D1369" s="103"/>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2"/>
      <c r="C1370" s="103"/>
      <c r="D1370" s="103"/>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2"/>
      <c r="C1371" s="103"/>
      <c r="D1371" s="103"/>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2"/>
      <c r="C1372" s="103"/>
      <c r="D1372" s="103"/>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2"/>
      <c r="C1373" s="103"/>
      <c r="D1373" s="103"/>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2"/>
      <c r="C1374" s="103"/>
      <c r="D1374" s="103"/>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2"/>
      <c r="C1375" s="103"/>
      <c r="D1375" s="103"/>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2"/>
      <c r="C1376" s="103"/>
      <c r="D1376" s="103"/>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2"/>
      <c r="C1377" s="103"/>
      <c r="D1377" s="103"/>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2"/>
      <c r="C1378" s="103"/>
      <c r="D1378" s="103"/>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2"/>
      <c r="C1379" s="103"/>
      <c r="D1379" s="103"/>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2"/>
      <c r="C1380" s="103"/>
      <c r="D1380" s="103"/>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2"/>
      <c r="C1381" s="103"/>
      <c r="D1381" s="103"/>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2"/>
      <c r="C1382" s="103"/>
      <c r="D1382" s="103"/>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2"/>
      <c r="C1383" s="103"/>
      <c r="D1383" s="103"/>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2"/>
      <c r="C1384" s="103"/>
      <c r="D1384" s="103"/>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2"/>
      <c r="C1385" s="103"/>
      <c r="D1385" s="103"/>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2"/>
      <c r="C1386" s="103"/>
      <c r="D1386" s="103"/>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2"/>
      <c r="C1387" s="103"/>
      <c r="D1387" s="103"/>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2"/>
      <c r="C1388" s="103"/>
      <c r="D1388" s="103"/>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2"/>
      <c r="C1389" s="103"/>
      <c r="D1389" s="103"/>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2"/>
      <c r="C1390" s="103"/>
      <c r="D1390" s="103"/>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2"/>
      <c r="C1391" s="103"/>
      <c r="D1391" s="103"/>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2"/>
      <c r="C1392" s="103"/>
      <c r="D1392" s="103"/>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2"/>
      <c r="C1393" s="103"/>
      <c r="D1393" s="103"/>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2"/>
      <c r="C1394" s="103"/>
      <c r="D1394" s="103"/>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2"/>
      <c r="C1395" s="103"/>
      <c r="D1395" s="103"/>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2"/>
      <c r="C1396" s="103"/>
      <c r="D1396" s="103"/>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2"/>
      <c r="C1397" s="103"/>
      <c r="D1397" s="103"/>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2"/>
      <c r="C1398" s="103"/>
      <c r="D1398" s="103"/>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2"/>
      <c r="C1399" s="103"/>
      <c r="D1399" s="103"/>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2"/>
      <c r="C1400" s="103"/>
      <c r="D1400" s="103"/>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2"/>
      <c r="C1401" s="103"/>
      <c r="D1401" s="103"/>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2"/>
      <c r="C1402" s="103"/>
      <c r="D1402" s="103"/>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2"/>
      <c r="C1403" s="103"/>
      <c r="D1403" s="103"/>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2"/>
      <c r="C1404" s="103"/>
      <c r="D1404" s="103"/>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2"/>
      <c r="C1405" s="103"/>
      <c r="D1405" s="103"/>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2"/>
      <c r="C1406" s="103"/>
      <c r="D1406" s="103"/>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2"/>
      <c r="C1407" s="103"/>
      <c r="D1407" s="103"/>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2"/>
      <c r="C1408" s="103"/>
      <c r="D1408" s="103"/>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2"/>
      <c r="C1409" s="103"/>
      <c r="D1409" s="103"/>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2"/>
      <c r="C1410" s="103"/>
      <c r="D1410" s="103"/>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2"/>
      <c r="C1411" s="103"/>
      <c r="D1411" s="103"/>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2"/>
      <c r="C1412" s="103"/>
      <c r="D1412" s="103"/>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2"/>
      <c r="C1413" s="103"/>
      <c r="D1413" s="103"/>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2"/>
      <c r="C1414" s="103"/>
      <c r="D1414" s="103"/>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2"/>
      <c r="C1415" s="103"/>
      <c r="D1415" s="103"/>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2"/>
      <c r="C1416" s="103"/>
      <c r="D1416" s="103"/>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2"/>
      <c r="C1417" s="103"/>
      <c r="D1417" s="103"/>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2"/>
      <c r="C1418" s="103"/>
      <c r="D1418" s="103"/>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2"/>
      <c r="C1419" s="103"/>
      <c r="D1419" s="103"/>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2"/>
      <c r="C1420" s="103"/>
      <c r="D1420" s="103"/>
      <c r="E1420" s="65"/>
      <c r="F1420" s="65"/>
      <c r="G1420" s="65"/>
      <c r="H1420" s="65"/>
      <c r="I1420" s="65"/>
      <c r="J1420" s="65"/>
      <c r="K1420" s="65"/>
      <c r="L1420" s="65"/>
      <c r="M1420" s="65"/>
      <c r="N1420" s="65"/>
      <c r="O1420" s="65"/>
      <c r="P1420" s="65"/>
      <c r="Q1420" s="65"/>
      <c r="R1420" s="65"/>
      <c r="S1420" s="109"/>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2"/>
      <c r="C1421" s="103"/>
      <c r="D1421" s="103"/>
      <c r="E1421" s="65"/>
      <c r="F1421" s="65"/>
      <c r="G1421" s="65"/>
      <c r="H1421" s="65"/>
      <c r="I1421" s="65"/>
      <c r="J1421" s="65"/>
      <c r="K1421" s="65"/>
      <c r="L1421" s="65"/>
      <c r="M1421" s="65"/>
      <c r="N1421" s="65"/>
      <c r="O1421" s="65"/>
      <c r="P1421" s="65"/>
      <c r="Q1421" s="65"/>
      <c r="R1421" s="65"/>
      <c r="S1421" s="109"/>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2"/>
      <c r="C1422" s="103"/>
      <c r="D1422" s="103"/>
      <c r="E1422" s="65"/>
      <c r="F1422" s="65"/>
      <c r="G1422" s="65"/>
      <c r="H1422" s="65"/>
      <c r="I1422" s="65"/>
      <c r="J1422" s="65"/>
      <c r="K1422" s="65"/>
      <c r="L1422" s="65"/>
      <c r="M1422" s="65"/>
      <c r="N1422" s="65"/>
      <c r="O1422" s="65"/>
      <c r="P1422" s="65"/>
      <c r="Q1422" s="65"/>
      <c r="R1422" s="65"/>
      <c r="S1422" s="118"/>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2"/>
      <c r="C1423" s="103"/>
      <c r="D1423" s="103"/>
      <c r="E1423" s="65"/>
      <c r="F1423" s="65"/>
      <c r="G1423" s="65"/>
      <c r="H1423" s="65"/>
      <c r="I1423" s="65"/>
      <c r="J1423" s="65"/>
      <c r="K1423" s="65"/>
      <c r="L1423" s="65"/>
      <c r="M1423" s="65"/>
      <c r="N1423" s="65"/>
      <c r="O1423" s="65"/>
      <c r="P1423" s="65"/>
      <c r="Q1423" s="65"/>
      <c r="R1423" s="65"/>
      <c r="S1423" s="118"/>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2"/>
      <c r="C1424" s="103"/>
      <c r="D1424" s="103"/>
      <c r="E1424" s="65"/>
      <c r="F1424" s="65"/>
      <c r="G1424" s="65"/>
      <c r="H1424" s="65"/>
      <c r="I1424" s="65"/>
      <c r="J1424" s="65"/>
      <c r="K1424" s="65"/>
      <c r="L1424" s="65"/>
      <c r="M1424" s="65"/>
      <c r="N1424" s="65"/>
      <c r="O1424" s="65"/>
      <c r="P1424" s="65"/>
      <c r="Q1424" s="65"/>
      <c r="R1424" s="65"/>
      <c r="S1424" s="118"/>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2"/>
      <c r="C1425" s="103"/>
      <c r="D1425" s="103"/>
      <c r="E1425" s="65"/>
      <c r="F1425" s="65"/>
      <c r="G1425" s="65"/>
      <c r="H1425" s="65"/>
      <c r="I1425" s="65"/>
      <c r="J1425" s="65"/>
      <c r="K1425" s="65"/>
      <c r="L1425" s="65"/>
      <c r="M1425" s="65"/>
      <c r="N1425" s="65"/>
      <c r="O1425" s="65"/>
      <c r="P1425" s="65"/>
      <c r="Q1425" s="65"/>
      <c r="R1425" s="65"/>
      <c r="S1425" s="118"/>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2"/>
      <c r="C1426" s="103"/>
      <c r="D1426" s="103"/>
      <c r="E1426" s="65"/>
      <c r="F1426" s="65"/>
      <c r="G1426" s="65"/>
      <c r="H1426" s="65"/>
      <c r="I1426" s="65"/>
      <c r="J1426" s="65"/>
      <c r="K1426" s="65"/>
      <c r="L1426" s="65"/>
      <c r="M1426" s="65"/>
      <c r="N1426" s="65"/>
      <c r="O1426" s="65"/>
      <c r="P1426" s="65"/>
      <c r="Q1426" s="65"/>
      <c r="R1426" s="65"/>
      <c r="S1426" s="118"/>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2"/>
      <c r="C1427" s="103"/>
      <c r="D1427" s="103"/>
      <c r="E1427" s="65"/>
      <c r="F1427" s="65"/>
      <c r="G1427" s="65"/>
      <c r="H1427" s="65"/>
      <c r="I1427" s="65"/>
      <c r="J1427" s="65"/>
      <c r="K1427" s="65"/>
      <c r="L1427" s="65"/>
      <c r="M1427" s="65"/>
      <c r="N1427" s="65"/>
      <c r="O1427" s="65"/>
      <c r="P1427" s="65"/>
      <c r="Q1427" s="65"/>
      <c r="R1427" s="65"/>
      <c r="S1427" s="118"/>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2"/>
      <c r="C1428" s="103"/>
      <c r="D1428" s="103"/>
      <c r="E1428" s="65"/>
      <c r="F1428" s="65"/>
      <c r="G1428" s="65"/>
      <c r="H1428" s="65"/>
      <c r="I1428" s="65"/>
      <c r="J1428" s="65"/>
      <c r="K1428" s="65"/>
      <c r="L1428" s="65"/>
      <c r="M1428" s="65"/>
      <c r="N1428" s="65"/>
      <c r="O1428" s="65"/>
      <c r="P1428" s="65"/>
      <c r="Q1428" s="65"/>
      <c r="R1428" s="65"/>
      <c r="S1428" s="118"/>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2"/>
      <c r="C1429" s="103"/>
      <c r="D1429" s="103"/>
      <c r="E1429" s="65"/>
      <c r="F1429" s="65"/>
      <c r="G1429" s="65"/>
      <c r="H1429" s="65"/>
      <c r="I1429" s="65"/>
      <c r="J1429" s="65"/>
      <c r="K1429" s="65"/>
      <c r="L1429" s="65"/>
      <c r="M1429" s="65"/>
      <c r="N1429" s="65"/>
      <c r="O1429" s="65"/>
      <c r="P1429" s="65"/>
      <c r="Q1429" s="65"/>
      <c r="R1429" s="65"/>
      <c r="S1429" s="118"/>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2"/>
      <c r="C1430" s="103"/>
      <c r="D1430" s="103"/>
      <c r="E1430" s="65"/>
      <c r="F1430" s="65"/>
      <c r="G1430" s="65"/>
      <c r="H1430" s="65"/>
      <c r="I1430" s="65"/>
      <c r="J1430" s="65"/>
      <c r="K1430" s="65"/>
      <c r="L1430" s="65"/>
      <c r="M1430" s="65"/>
      <c r="N1430" s="65"/>
      <c r="O1430" s="65"/>
      <c r="P1430" s="65"/>
      <c r="Q1430" s="65"/>
      <c r="R1430" s="65"/>
      <c r="S1430" s="118"/>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2"/>
      <c r="C1431" s="103"/>
      <c r="D1431" s="103"/>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2"/>
      <c r="C1432" s="103"/>
      <c r="D1432" s="103"/>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2"/>
      <c r="C1433" s="103"/>
      <c r="D1433" s="103"/>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2"/>
      <c r="C1434" s="103"/>
      <c r="D1434" s="103"/>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2"/>
      <c r="C1435" s="103"/>
      <c r="D1435" s="103"/>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2"/>
      <c r="C1436" s="103"/>
      <c r="D1436" s="103"/>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2"/>
      <c r="C1437" s="103"/>
      <c r="D1437" s="103"/>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2"/>
      <c r="C1438" s="103"/>
      <c r="D1438" s="103"/>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2"/>
      <c r="C1439" s="103"/>
      <c r="D1439" s="103"/>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2"/>
      <c r="C1440" s="103"/>
      <c r="D1440" s="103"/>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2"/>
      <c r="C1441" s="103"/>
      <c r="D1441" s="103"/>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2"/>
      <c r="C1442" s="103"/>
      <c r="D1442" s="103"/>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2"/>
      <c r="C1443" s="103"/>
      <c r="D1443" s="103"/>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2"/>
      <c r="C1444" s="103"/>
      <c r="D1444" s="103"/>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2"/>
      <c r="C1445" s="103"/>
      <c r="D1445" s="103"/>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2"/>
      <c r="C1446" s="103"/>
      <c r="D1446" s="103"/>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2"/>
      <c r="C1447" s="103"/>
      <c r="D1447" s="103"/>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2"/>
      <c r="C1448" s="103"/>
      <c r="D1448" s="103"/>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2"/>
      <c r="C1449" s="103"/>
      <c r="D1449" s="103"/>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2"/>
      <c r="C1450" s="103"/>
      <c r="D1450" s="103"/>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2"/>
      <c r="C1451" s="103"/>
      <c r="D1451" s="103"/>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2"/>
      <c r="C1452" s="103"/>
      <c r="D1452" s="103"/>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2"/>
      <c r="C1453" s="103"/>
      <c r="D1453" s="103"/>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2"/>
      <c r="C1454" s="103"/>
      <c r="D1454" s="103"/>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2"/>
      <c r="C1455" s="103"/>
      <c r="D1455" s="103"/>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2"/>
      <c r="C1456" s="103"/>
      <c r="D1456" s="103"/>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2"/>
      <c r="C1457" s="103"/>
      <c r="D1457" s="103"/>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2"/>
      <c r="C1458" s="103"/>
      <c r="D1458" s="103"/>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2"/>
      <c r="C1459" s="103"/>
      <c r="D1459" s="103"/>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2"/>
      <c r="C1460" s="103"/>
      <c r="D1460" s="103"/>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2"/>
      <c r="C1461" s="103"/>
      <c r="D1461" s="103"/>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2"/>
      <c r="C1462" s="103"/>
      <c r="D1462" s="103"/>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2"/>
      <c r="C1463" s="103"/>
      <c r="D1463" s="103"/>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2"/>
      <c r="C1464" s="103"/>
      <c r="D1464" s="103"/>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2"/>
      <c r="C1465" s="103"/>
      <c r="D1465" s="103"/>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2"/>
      <c r="C1466" s="103"/>
      <c r="D1466" s="103"/>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2"/>
      <c r="C1467" s="103"/>
      <c r="D1467" s="103"/>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2"/>
      <c r="C1468" s="103"/>
      <c r="D1468" s="103"/>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2"/>
      <c r="C1469" s="103"/>
      <c r="D1469" s="103"/>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2"/>
      <c r="C1470" s="103"/>
      <c r="D1470" s="103"/>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2"/>
      <c r="C1471" s="103"/>
      <c r="D1471" s="103"/>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2"/>
      <c r="C1472" s="103"/>
      <c r="D1472" s="103"/>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2"/>
      <c r="C1473" s="103"/>
      <c r="D1473" s="103"/>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2"/>
      <c r="C1474" s="103"/>
      <c r="D1474" s="103"/>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2"/>
      <c r="C1475" s="103"/>
      <c r="D1475" s="103"/>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2"/>
      <c r="C1476" s="103"/>
      <c r="D1476" s="103"/>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2"/>
      <c r="C1477" s="103"/>
      <c r="D1477" s="103"/>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2"/>
      <c r="C1478" s="103"/>
      <c r="D1478" s="103"/>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2"/>
      <c r="C1479" s="103"/>
      <c r="D1479" s="103"/>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2"/>
      <c r="C1480" s="103"/>
      <c r="D1480" s="103"/>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2"/>
      <c r="C1481" s="103"/>
      <c r="D1481" s="103"/>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2"/>
      <c r="C1482" s="103"/>
      <c r="D1482" s="103"/>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2"/>
      <c r="C1483" s="103"/>
      <c r="D1483" s="103"/>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2"/>
      <c r="C1484" s="103"/>
      <c r="D1484" s="103"/>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2"/>
      <c r="C1485" s="103"/>
      <c r="D1485" s="103"/>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2"/>
      <c r="C1486" s="103"/>
      <c r="D1486" s="103"/>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2"/>
      <c r="C1487" s="103"/>
      <c r="D1487" s="103"/>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2"/>
      <c r="C1488" s="103"/>
      <c r="D1488" s="103"/>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2"/>
      <c r="C1489" s="103"/>
      <c r="D1489" s="103"/>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2"/>
      <c r="C1490" s="103"/>
      <c r="D1490" s="103"/>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2"/>
      <c r="C1491" s="103"/>
      <c r="D1491" s="103"/>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2"/>
      <c r="C1492" s="103"/>
      <c r="D1492" s="103"/>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2"/>
      <c r="C1493" s="103"/>
      <c r="D1493" s="103"/>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2"/>
      <c r="C1494" s="103"/>
      <c r="D1494" s="103"/>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2"/>
      <c r="C1495" s="103"/>
      <c r="D1495" s="103"/>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2"/>
      <c r="C1496" s="103"/>
      <c r="D1496" s="103"/>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2"/>
      <c r="C1497" s="103"/>
      <c r="D1497" s="103"/>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2"/>
      <c r="C1498" s="103"/>
      <c r="D1498" s="103"/>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2"/>
      <c r="C1499" s="103"/>
      <c r="D1499" s="103"/>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2"/>
      <c r="C1500" s="103"/>
      <c r="D1500" s="103"/>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2"/>
      <c r="C1501" s="103"/>
      <c r="D1501" s="103"/>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2"/>
      <c r="C1502" s="103"/>
      <c r="D1502" s="103"/>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2"/>
      <c r="C1503" s="103"/>
      <c r="D1503" s="103"/>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2"/>
      <c r="C1504" s="103"/>
      <c r="D1504" s="103"/>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2"/>
      <c r="C1505" s="103"/>
      <c r="D1505" s="103"/>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2"/>
      <c r="C1506" s="103"/>
      <c r="D1506" s="103"/>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2"/>
      <c r="C1507" s="103"/>
      <c r="D1507" s="103"/>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2"/>
      <c r="C1508" s="103"/>
      <c r="D1508" s="103"/>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2"/>
      <c r="C1509" s="103"/>
      <c r="D1509" s="103"/>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2"/>
      <c r="C1510" s="103"/>
      <c r="D1510" s="103"/>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2"/>
      <c r="C1511" s="103"/>
      <c r="D1511" s="103"/>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2"/>
      <c r="C1512" s="103"/>
      <c r="D1512" s="103"/>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2"/>
      <c r="C1513" s="103"/>
      <c r="D1513" s="103"/>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2"/>
      <c r="C1514" s="103"/>
      <c r="D1514" s="103"/>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2"/>
      <c r="C1515" s="103"/>
      <c r="D1515" s="103"/>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2"/>
      <c r="C1516" s="103"/>
      <c r="D1516" s="103"/>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2"/>
      <c r="C1517" s="103"/>
      <c r="D1517" s="103"/>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2"/>
      <c r="C1518" s="103"/>
      <c r="D1518" s="103"/>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2"/>
      <c r="C1519" s="103"/>
      <c r="D1519" s="103"/>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2"/>
      <c r="C1520" s="103"/>
      <c r="D1520" s="103"/>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2"/>
      <c r="C1521" s="103"/>
      <c r="D1521" s="103"/>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2"/>
      <c r="C1522" s="103"/>
      <c r="D1522" s="103"/>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2"/>
      <c r="C1523" s="103"/>
      <c r="D1523" s="103"/>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2"/>
      <c r="C1524" s="103"/>
      <c r="D1524" s="103"/>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2"/>
      <c r="C1525" s="103"/>
      <c r="D1525" s="103"/>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2"/>
      <c r="C1526" s="103"/>
      <c r="D1526" s="103"/>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2"/>
      <c r="C1527" s="103"/>
      <c r="D1527" s="103"/>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2"/>
      <c r="C1528" s="103"/>
      <c r="D1528" s="103"/>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2"/>
      <c r="C1529" s="103"/>
      <c r="D1529" s="103"/>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2"/>
      <c r="C1530" s="103"/>
      <c r="D1530" s="103"/>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2"/>
      <c r="C1531" s="103"/>
      <c r="D1531" s="103"/>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2"/>
      <c r="C1532" s="103"/>
      <c r="D1532" s="103"/>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2"/>
      <c r="C1533" s="103"/>
      <c r="D1533" s="103"/>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2"/>
      <c r="C1534" s="103"/>
      <c r="D1534" s="103"/>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2"/>
      <c r="C1535" s="103"/>
      <c r="D1535" s="103"/>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2"/>
      <c r="C1536" s="103"/>
      <c r="D1536" s="103"/>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2"/>
      <c r="C1537" s="103"/>
      <c r="D1537" s="103"/>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2"/>
      <c r="C1538" s="103"/>
      <c r="D1538" s="103"/>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2"/>
      <c r="C1539" s="103"/>
      <c r="D1539" s="103"/>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2"/>
      <c r="C1540" s="103"/>
      <c r="D1540" s="103"/>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2"/>
      <c r="C1541" s="103"/>
      <c r="D1541" s="103"/>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2"/>
      <c r="C1542" s="103"/>
      <c r="D1542" s="103"/>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2"/>
      <c r="C1543" s="103"/>
      <c r="D1543" s="103"/>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2"/>
      <c r="C1544" s="103"/>
      <c r="D1544" s="103"/>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2"/>
      <c r="C1545" s="103"/>
      <c r="D1545" s="103"/>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2"/>
      <c r="C1546" s="103"/>
      <c r="D1546" s="103"/>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2"/>
      <c r="C1547" s="103"/>
      <c r="D1547" s="103"/>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2"/>
      <c r="C1548" s="103"/>
      <c r="D1548" s="103"/>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2"/>
      <c r="C1549" s="103"/>
      <c r="D1549" s="103"/>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2"/>
      <c r="C1550" s="103"/>
      <c r="D1550" s="103"/>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2"/>
      <c r="C1551" s="103"/>
      <c r="D1551" s="103"/>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2"/>
      <c r="C1552" s="103"/>
      <c r="D1552" s="103"/>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2"/>
      <c r="C1553" s="103"/>
      <c r="D1553" s="103"/>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2"/>
      <c r="C1554" s="103"/>
      <c r="D1554" s="103"/>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2"/>
      <c r="C1555" s="103"/>
      <c r="D1555" s="103"/>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2"/>
      <c r="C1556" s="103"/>
      <c r="D1556" s="103"/>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2"/>
      <c r="C1557" s="103"/>
      <c r="D1557" s="103"/>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2"/>
      <c r="C1558" s="103"/>
      <c r="D1558" s="103"/>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2"/>
      <c r="C1559" s="103"/>
      <c r="D1559" s="103"/>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2"/>
      <c r="C1560" s="103"/>
      <c r="D1560" s="103"/>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2"/>
      <c r="C1561" s="103"/>
      <c r="D1561" s="103"/>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2"/>
      <c r="C1562" s="103"/>
      <c r="D1562" s="103"/>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2"/>
      <c r="C1563" s="103"/>
      <c r="D1563" s="103"/>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2"/>
      <c r="C1564" s="103"/>
      <c r="D1564" s="103"/>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2"/>
      <c r="C1565" s="103"/>
      <c r="D1565" s="103"/>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2"/>
      <c r="C1566" s="103"/>
      <c r="D1566" s="103"/>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2"/>
      <c r="C1567" s="103"/>
      <c r="D1567" s="103"/>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2"/>
      <c r="C1568" s="103"/>
      <c r="D1568" s="103"/>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2"/>
      <c r="C1569" s="103"/>
      <c r="D1569" s="103"/>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2"/>
      <c r="C1570" s="103"/>
      <c r="D1570" s="103"/>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2"/>
      <c r="C1571" s="103"/>
      <c r="D1571" s="103"/>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2"/>
      <c r="C1572" s="103"/>
      <c r="D1572" s="103"/>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2"/>
      <c r="C1573" s="103"/>
      <c r="D1573" s="103"/>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2"/>
      <c r="C1574" s="103"/>
      <c r="D1574" s="103"/>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2"/>
      <c r="C1575" s="103"/>
      <c r="D1575" s="103"/>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2"/>
      <c r="C1576" s="103"/>
      <c r="D1576" s="103"/>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2"/>
      <c r="C1577" s="103"/>
      <c r="D1577" s="103"/>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2"/>
      <c r="C1578" s="103"/>
      <c r="D1578" s="103"/>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2"/>
      <c r="C1579" s="103"/>
      <c r="D1579" s="103"/>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2"/>
      <c r="C1580" s="103"/>
      <c r="D1580" s="103"/>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2"/>
      <c r="C1581" s="103"/>
      <c r="D1581" s="103"/>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2"/>
      <c r="C1582" s="103"/>
      <c r="D1582" s="103"/>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2"/>
      <c r="C1583" s="103"/>
      <c r="D1583" s="103"/>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2"/>
      <c r="C1584" s="103"/>
      <c r="D1584" s="103"/>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2"/>
      <c r="C1585" s="103"/>
      <c r="D1585" s="103"/>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2"/>
      <c r="C1586" s="103"/>
      <c r="D1586" s="103"/>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2"/>
      <c r="C1587" s="103"/>
      <c r="D1587" s="103"/>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2"/>
      <c r="C1588" s="103"/>
      <c r="D1588" s="103"/>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2"/>
      <c r="C1589" s="103"/>
      <c r="D1589" s="103"/>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2"/>
      <c r="C1590" s="103"/>
      <c r="D1590" s="103"/>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2"/>
      <c r="C1591" s="103"/>
      <c r="D1591" s="103"/>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2"/>
      <c r="C1592" s="103"/>
      <c r="D1592" s="103"/>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2"/>
      <c r="C1593" s="103"/>
      <c r="D1593" s="103"/>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2"/>
      <c r="C1594" s="103"/>
      <c r="D1594" s="103"/>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2"/>
      <c r="C1595" s="103"/>
      <c r="D1595" s="103"/>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2"/>
      <c r="C1596" s="103"/>
      <c r="D1596" s="103"/>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2"/>
      <c r="C1597" s="103"/>
      <c r="D1597" s="103"/>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2"/>
      <c r="C1598" s="103"/>
      <c r="D1598" s="103"/>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2"/>
      <c r="C1599" s="103"/>
      <c r="D1599" s="103"/>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2"/>
      <c r="C1600" s="103"/>
      <c r="D1600" s="103"/>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60"/>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0">
    <tabColor theme="3" tint="0.59999389629810485"/>
    <pageSetUpPr fitToPage="1"/>
  </sheetPr>
  <dimension ref="A1:AY95"/>
  <sheetViews>
    <sheetView showGridLines="0" showZeros="0" zoomScale="70" zoomScaleNormal="70" workbookViewId="0">
      <selection activeCell="G4" sqref="G4"/>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48344</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92.7</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4" t="s">
        <v>669</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f t="shared" ref="AA8:AA80" si="0">SUM(A8:Z8)</f>
        <v>0</v>
      </c>
      <c r="AB8" s="128" t="s">
        <v>183</v>
      </c>
      <c r="AC8" s="19"/>
      <c r="AD8" s="24">
        <v>85.638384587056464</v>
      </c>
      <c r="AE8" s="20"/>
      <c r="AF8" s="21"/>
      <c r="AG8" s="19">
        <f t="shared" ref="AG8:AG11" si="1">-AH8/$D$2%</f>
        <v>-896.57572636716873</v>
      </c>
      <c r="AH8" s="25">
        <f>AK8/AD8%</f>
        <v>831.12569834236547</v>
      </c>
      <c r="AI8" s="33"/>
      <c r="AJ8" s="25"/>
      <c r="AK8" s="158">
        <f t="shared" ref="AK8:AK11" si="2">SUM(AL8:AT8)</f>
        <v>711.76262194829371</v>
      </c>
      <c r="AL8" s="153">
        <v>219.46316691269379</v>
      </c>
      <c r="AM8" s="153">
        <v>70.815552271200005</v>
      </c>
      <c r="AN8" s="153">
        <v>40.363685794799999</v>
      </c>
      <c r="AO8" s="153">
        <v>72.590862999599992</v>
      </c>
      <c r="AP8" s="153">
        <v>8.5887689183999996</v>
      </c>
      <c r="AQ8" s="153">
        <v>190.11465108359999</v>
      </c>
      <c r="AR8" s="153">
        <v>3.6881206812</v>
      </c>
      <c r="AS8" s="153">
        <v>105.89405008679999</v>
      </c>
      <c r="AT8" s="8">
        <v>0.24376319999999999</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f t="shared" si="0"/>
        <v>0</v>
      </c>
      <c r="AB9" s="128" t="s">
        <v>2</v>
      </c>
      <c r="AC9" s="19"/>
      <c r="AD9" s="20"/>
      <c r="AE9" s="20">
        <v>90</v>
      </c>
      <c r="AF9" s="21"/>
      <c r="AG9" s="19">
        <f t="shared" si="1"/>
        <v>-5.9583353251771163</v>
      </c>
      <c r="AH9" s="25">
        <f>AK9/AE9%</f>
        <v>5.523376846439187</v>
      </c>
      <c r="AI9" s="33"/>
      <c r="AJ9" s="25"/>
      <c r="AK9" s="158">
        <f t="shared" si="2"/>
        <v>4.9710391617952681</v>
      </c>
      <c r="AL9" s="157">
        <v>4.9710391617952681</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f t="shared" si="0"/>
        <v>0</v>
      </c>
      <c r="AB10" s="128" t="s">
        <v>3</v>
      </c>
      <c r="AC10" s="19"/>
      <c r="AD10" s="20"/>
      <c r="AE10" s="20">
        <v>100</v>
      </c>
      <c r="AF10" s="21"/>
      <c r="AG10" s="19">
        <f t="shared" si="1"/>
        <v>-25.280365593965755</v>
      </c>
      <c r="AH10" s="25">
        <f>AK10/AE10%</f>
        <v>23.434898905606257</v>
      </c>
      <c r="AI10" s="33"/>
      <c r="AJ10" s="25"/>
      <c r="AK10" s="158">
        <f t="shared" si="2"/>
        <v>23.434898905606257</v>
      </c>
      <c r="AL10" s="157">
        <v>23.434898905606257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f>AK11-AH11</f>
        <v>0.12850370921183907</v>
      </c>
      <c r="R11" s="20"/>
      <c r="S11" s="20"/>
      <c r="T11" s="20"/>
      <c r="U11" s="20"/>
      <c r="V11" s="20"/>
      <c r="W11" s="20"/>
      <c r="X11" s="20"/>
      <c r="Y11" s="20"/>
      <c r="Z11" s="20"/>
      <c r="AA11" s="21">
        <f t="shared" si="0"/>
        <v>0.12850370921183907</v>
      </c>
      <c r="AB11" s="128" t="s">
        <v>23</v>
      </c>
      <c r="AC11" s="19"/>
      <c r="AD11" s="20"/>
      <c r="AE11" s="20">
        <v>300</v>
      </c>
      <c r="AF11" s="21"/>
      <c r="AG11" s="19">
        <f t="shared" si="1"/>
        <v>-6.9311601516633778E-2</v>
      </c>
      <c r="AH11" s="156">
        <f>AK11/AE11%</f>
        <v>6.425185460591952E-2</v>
      </c>
      <c r="AI11" s="33"/>
      <c r="AJ11" s="25"/>
      <c r="AK11" s="158">
        <f t="shared" si="2"/>
        <v>0.19275556381775857</v>
      </c>
      <c r="AL11" s="699">
        <v>0.19275556381775857</v>
      </c>
      <c r="AM11" s="24"/>
      <c r="AN11" s="24"/>
      <c r="AO11" s="24"/>
      <c r="AP11" s="24"/>
      <c r="AQ11" s="24"/>
      <c r="AR11" s="24"/>
      <c r="AS11" s="24"/>
      <c r="AT11" s="25"/>
    </row>
    <row r="12" spans="1:51" ht="15" customHeight="1" x14ac:dyDescent="0.2">
      <c r="A12" s="155">
        <f>AC12%*AG12</f>
        <v>35.311778887828353</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f t="shared" si="0"/>
        <v>35.311778887828353</v>
      </c>
      <c r="AB12" s="128" t="s">
        <v>10</v>
      </c>
      <c r="AC12" s="19">
        <v>100</v>
      </c>
      <c r="AD12" s="20"/>
      <c r="AE12" s="20"/>
      <c r="AF12" s="21"/>
      <c r="AG12" s="19">
        <f>-SUM(AG13:AG80,AG8:AG11)</f>
        <v>35.311778887828353</v>
      </c>
      <c r="AH12" s="169"/>
      <c r="AI12" s="170"/>
      <c r="AJ12" s="169"/>
      <c r="AK12" s="171">
        <f t="shared" ref="AK12:AK43" si="3">SUM(AL12:AT12)</f>
        <v>0</v>
      </c>
      <c r="AL12" s="170"/>
      <c r="AM12" s="174"/>
      <c r="AN12" s="174"/>
      <c r="AO12" s="174"/>
      <c r="AP12" s="174"/>
      <c r="AQ12" s="174"/>
      <c r="AR12" s="174"/>
      <c r="AS12" s="174"/>
      <c r="AT12" s="169"/>
    </row>
    <row r="13" spans="1:51" ht="15" customHeight="1" x14ac:dyDescent="0.2">
      <c r="A13" s="176"/>
      <c r="B13" s="153">
        <v>27.1</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f t="shared" si="0"/>
        <v>27.1</v>
      </c>
      <c r="AB13" s="178" t="s">
        <v>29</v>
      </c>
      <c r="AC13" s="26"/>
      <c r="AD13" s="28"/>
      <c r="AE13" s="177">
        <v>38</v>
      </c>
      <c r="AF13" s="29"/>
      <c r="AG13" s="26"/>
      <c r="AH13" s="29"/>
      <c r="AI13" s="26"/>
      <c r="AJ13" s="29"/>
      <c r="AK13" s="22">
        <f t="shared" si="3"/>
        <v>10.298</v>
      </c>
      <c r="AL13" s="188">
        <f>AA13*AE13%*20%</f>
        <v>2.0596000000000001</v>
      </c>
      <c r="AM13" s="179"/>
      <c r="AN13" s="179"/>
      <c r="AO13" s="179"/>
      <c r="AP13" s="179"/>
      <c r="AQ13" s="179">
        <f>AA13*AE13%*60%</f>
        <v>6.1787999999999998</v>
      </c>
      <c r="AR13" s="179"/>
      <c r="AS13" s="179"/>
      <c r="AT13" s="189">
        <f>AA13*AE13%*20%</f>
        <v>2.0596000000000001</v>
      </c>
    </row>
    <row r="14" spans="1:51" ht="15" customHeight="1" x14ac:dyDescent="0.2">
      <c r="A14" s="19"/>
      <c r="B14" s="174"/>
      <c r="C14" s="20"/>
      <c r="D14" s="20"/>
      <c r="E14" s="153">
        <v>475</v>
      </c>
      <c r="F14" s="174"/>
      <c r="G14" s="174"/>
      <c r="H14" s="174"/>
      <c r="I14" s="174"/>
      <c r="J14" s="24"/>
      <c r="K14" s="24"/>
      <c r="L14" s="24"/>
      <c r="M14" s="20"/>
      <c r="N14" s="20"/>
      <c r="O14" s="20"/>
      <c r="P14" s="20"/>
      <c r="Q14" s="174"/>
      <c r="R14" s="174"/>
      <c r="S14" s="174"/>
      <c r="T14" s="174"/>
      <c r="U14" s="174"/>
      <c r="V14" s="174"/>
      <c r="W14" s="174"/>
      <c r="X14" s="174"/>
      <c r="Y14" s="174"/>
      <c r="Z14" s="174"/>
      <c r="AA14" s="21">
        <f t="shared" si="0"/>
        <v>475</v>
      </c>
      <c r="AB14" s="128" t="s">
        <v>215</v>
      </c>
      <c r="AC14" s="19"/>
      <c r="AD14" s="20"/>
      <c r="AE14" s="174">
        <v>80</v>
      </c>
      <c r="AF14" s="21"/>
      <c r="AG14" s="19"/>
      <c r="AH14" s="21"/>
      <c r="AI14" s="19"/>
      <c r="AJ14" s="21"/>
      <c r="AK14" s="22">
        <f t="shared" si="3"/>
        <v>380</v>
      </c>
      <c r="AL14" s="30">
        <f t="shared" ref="AL14:AL19" si="4">AA14*AE14%</f>
        <v>380</v>
      </c>
      <c r="AM14" s="20"/>
      <c r="AN14" s="20"/>
      <c r="AO14" s="20"/>
      <c r="AP14" s="20"/>
      <c r="AQ14" s="20"/>
      <c r="AR14" s="20"/>
      <c r="AS14" s="20"/>
      <c r="AT14" s="21"/>
      <c r="AY14" s="23"/>
    </row>
    <row r="15" spans="1:51" ht="15" customHeight="1" x14ac:dyDescent="0.2">
      <c r="A15" s="19"/>
      <c r="B15" s="174"/>
      <c r="C15" s="20"/>
      <c r="D15" s="20"/>
      <c r="E15" s="174"/>
      <c r="F15" s="174"/>
      <c r="G15" s="174"/>
      <c r="H15" s="174"/>
      <c r="I15" s="153">
        <v>323.99226252</v>
      </c>
      <c r="J15" s="153"/>
      <c r="K15" s="153"/>
      <c r="L15" s="153"/>
      <c r="M15" s="20"/>
      <c r="N15" s="20"/>
      <c r="O15" s="20"/>
      <c r="P15" s="20"/>
      <c r="Q15" s="174"/>
      <c r="R15" s="174"/>
      <c r="S15" s="174"/>
      <c r="T15" s="174"/>
      <c r="U15" s="174"/>
      <c r="V15" s="174"/>
      <c r="W15" s="174"/>
      <c r="X15" s="174"/>
      <c r="Y15" s="174"/>
      <c r="Z15" s="174"/>
      <c r="AA15" s="21">
        <f t="shared" si="0"/>
        <v>323.99226252</v>
      </c>
      <c r="AB15" s="128" t="s">
        <v>216</v>
      </c>
      <c r="AC15" s="19"/>
      <c r="AD15" s="20"/>
      <c r="AE15" s="174">
        <v>85</v>
      </c>
      <c r="AF15" s="21"/>
      <c r="AG15" s="19"/>
      <c r="AH15" s="21"/>
      <c r="AI15" s="19"/>
      <c r="AJ15" s="21"/>
      <c r="AK15" s="22">
        <f t="shared" si="3"/>
        <v>275.39342314200002</v>
      </c>
      <c r="AL15" s="30">
        <f t="shared" si="4"/>
        <v>275.39342314200002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197</v>
      </c>
      <c r="W16" s="174"/>
      <c r="X16" s="174"/>
      <c r="Y16" s="174"/>
      <c r="Z16" s="174"/>
      <c r="AA16" s="21">
        <f t="shared" si="0"/>
        <v>197</v>
      </c>
      <c r="AB16" s="128" t="s">
        <v>217</v>
      </c>
      <c r="AC16" s="19"/>
      <c r="AD16" s="20"/>
      <c r="AE16" s="174">
        <v>75</v>
      </c>
      <c r="AF16" s="21"/>
      <c r="AG16" s="19"/>
      <c r="AH16" s="21"/>
      <c r="AI16" s="19"/>
      <c r="AJ16" s="21"/>
      <c r="AK16" s="22">
        <f t="shared" si="3"/>
        <v>147.75</v>
      </c>
      <c r="AL16" s="30">
        <f t="shared" si="4"/>
        <v>147.75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757</v>
      </c>
      <c r="V17" s="2"/>
      <c r="W17" s="174"/>
      <c r="X17" s="174"/>
      <c r="Y17" s="174"/>
      <c r="Z17" s="174"/>
      <c r="AA17" s="21">
        <f t="shared" si="0"/>
        <v>757</v>
      </c>
      <c r="AB17" s="128" t="s">
        <v>218</v>
      </c>
      <c r="AC17" s="19"/>
      <c r="AD17" s="20"/>
      <c r="AE17" s="174">
        <v>65</v>
      </c>
      <c r="AF17" s="21"/>
      <c r="AG17" s="19"/>
      <c r="AH17" s="21"/>
      <c r="AI17" s="19"/>
      <c r="AJ17" s="21"/>
      <c r="AK17" s="22">
        <f t="shared" si="3"/>
        <v>492.05</v>
      </c>
      <c r="AL17" s="30">
        <f t="shared" si="4"/>
        <v>492.05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164</v>
      </c>
      <c r="U18" s="2"/>
      <c r="V18" s="2"/>
      <c r="W18" s="174"/>
      <c r="X18" s="174"/>
      <c r="Y18" s="174"/>
      <c r="Z18" s="174"/>
      <c r="AA18" s="21">
        <f t="shared" si="0"/>
        <v>164</v>
      </c>
      <c r="AB18" s="128" t="s">
        <v>219</v>
      </c>
      <c r="AC18" s="19"/>
      <c r="AD18" s="20"/>
      <c r="AE18" s="174">
        <v>65</v>
      </c>
      <c r="AF18" s="21"/>
      <c r="AG18" s="19"/>
      <c r="AH18" s="21"/>
      <c r="AI18" s="19"/>
      <c r="AJ18" s="21"/>
      <c r="AK18" s="22">
        <f t="shared" si="3"/>
        <v>106.60000000000001</v>
      </c>
      <c r="AL18" s="30">
        <f t="shared" si="4"/>
        <v>106.60000000000001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5.5</v>
      </c>
      <c r="P19" s="20"/>
      <c r="Q19" s="174"/>
      <c r="R19" s="174"/>
      <c r="S19" s="174"/>
      <c r="T19" s="174"/>
      <c r="U19" s="174"/>
      <c r="V19" s="174"/>
      <c r="W19" s="174"/>
      <c r="X19" s="174"/>
      <c r="Y19" s="174"/>
      <c r="Z19" s="174"/>
      <c r="AA19" s="21">
        <f t="shared" si="0"/>
        <v>5.5</v>
      </c>
      <c r="AB19" s="128" t="s">
        <v>220</v>
      </c>
      <c r="AC19" s="19"/>
      <c r="AD19" s="20"/>
      <c r="AE19" s="20">
        <v>100</v>
      </c>
      <c r="AF19" s="21"/>
      <c r="AG19" s="19"/>
      <c r="AH19" s="21"/>
      <c r="AI19" s="19"/>
      <c r="AJ19" s="21"/>
      <c r="AK19" s="22">
        <f t="shared" si="3"/>
        <v>5.5</v>
      </c>
      <c r="AL19" s="30">
        <f t="shared" si="4"/>
        <v>5.5</v>
      </c>
      <c r="AM19" s="20"/>
      <c r="AN19" s="20"/>
      <c r="AO19" s="20"/>
      <c r="AP19" s="20"/>
      <c r="AQ19" s="20"/>
      <c r="AR19" s="20"/>
      <c r="AS19" s="20"/>
      <c r="AT19" s="21"/>
      <c r="AY19" s="23"/>
    </row>
    <row r="20" spans="1:51" ht="15" customHeight="1" x14ac:dyDescent="0.2">
      <c r="A20" s="19"/>
      <c r="B20" s="20"/>
      <c r="C20" s="174"/>
      <c r="D20" s="174"/>
      <c r="E20" s="153">
        <v>79</v>
      </c>
      <c r="F20" s="174"/>
      <c r="G20" s="174"/>
      <c r="H20" s="174"/>
      <c r="I20" s="2"/>
      <c r="J20" s="2"/>
      <c r="K20" s="2"/>
      <c r="L20" s="2"/>
      <c r="M20" s="174"/>
      <c r="N20" s="174"/>
      <c r="O20" s="174"/>
      <c r="P20" s="174"/>
      <c r="Q20" s="174"/>
      <c r="R20" s="174"/>
      <c r="S20" s="174"/>
      <c r="T20" s="174"/>
      <c r="U20" s="174"/>
      <c r="V20" s="174"/>
      <c r="W20" s="174"/>
      <c r="X20" s="174"/>
      <c r="Y20" s="174"/>
      <c r="Z20" s="174"/>
      <c r="AA20" s="21">
        <f t="shared" si="0"/>
        <v>79</v>
      </c>
      <c r="AB20" s="128" t="s">
        <v>24</v>
      </c>
      <c r="AC20" s="19"/>
      <c r="AD20" s="20">
        <v>90</v>
      </c>
      <c r="AE20" s="20"/>
      <c r="AF20" s="21"/>
      <c r="AG20" s="19"/>
      <c r="AH20" s="21"/>
      <c r="AI20" s="19"/>
      <c r="AJ20" s="21"/>
      <c r="AK20" s="22">
        <f t="shared" si="3"/>
        <v>71.100000000000009</v>
      </c>
      <c r="AL20" s="30"/>
      <c r="AM20" s="20"/>
      <c r="AN20" s="20"/>
      <c r="AO20" s="20"/>
      <c r="AP20" s="20"/>
      <c r="AQ20" s="20">
        <f>AA20*AD20%</f>
        <v>71.100000000000009</v>
      </c>
      <c r="AR20" s="20"/>
      <c r="AS20" s="20"/>
      <c r="AT20" s="21"/>
      <c r="AV20" s="23"/>
    </row>
    <row r="21" spans="1:51" ht="15" customHeight="1" x14ac:dyDescent="0.2">
      <c r="A21" s="19"/>
      <c r="B21" s="20"/>
      <c r="C21" s="174"/>
      <c r="D21" s="174"/>
      <c r="E21" s="174"/>
      <c r="F21" s="174"/>
      <c r="G21" s="174"/>
      <c r="H21" s="174"/>
      <c r="I21" s="153">
        <v>682.68585708000001</v>
      </c>
      <c r="J21" s="153"/>
      <c r="K21" s="153"/>
      <c r="L21" s="153"/>
      <c r="M21" s="174"/>
      <c r="N21" s="174"/>
      <c r="O21" s="174"/>
      <c r="P21" s="174"/>
      <c r="Q21" s="174"/>
      <c r="R21" s="174"/>
      <c r="S21" s="174"/>
      <c r="T21" s="174"/>
      <c r="U21" s="174"/>
      <c r="V21" s="174"/>
      <c r="W21" s="174"/>
      <c r="X21" s="174"/>
      <c r="Y21" s="174"/>
      <c r="Z21" s="174"/>
      <c r="AA21" s="21">
        <f t="shared" si="0"/>
        <v>682.68585708000001</v>
      </c>
      <c r="AB21" s="128" t="s">
        <v>25</v>
      </c>
      <c r="AC21" s="19"/>
      <c r="AD21" s="20">
        <v>90</v>
      </c>
      <c r="AE21" s="20"/>
      <c r="AF21" s="21"/>
      <c r="AG21" s="19"/>
      <c r="AH21" s="21"/>
      <c r="AI21" s="19"/>
      <c r="AJ21" s="21"/>
      <c r="AK21" s="22">
        <f t="shared" si="3"/>
        <v>614.41727137200007</v>
      </c>
      <c r="AL21" s="30"/>
      <c r="AM21" s="20"/>
      <c r="AN21" s="20"/>
      <c r="AO21" s="20"/>
      <c r="AP21" s="20"/>
      <c r="AQ21" s="20">
        <f>AA21*AD21%</f>
        <v>614.41727137200007</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f t="shared" si="0"/>
        <v>0</v>
      </c>
      <c r="AB22" s="128" t="s">
        <v>637</v>
      </c>
      <c r="AC22" s="19"/>
      <c r="AD22" s="20">
        <v>90</v>
      </c>
      <c r="AE22" s="20"/>
      <c r="AF22" s="21"/>
      <c r="AG22" s="19"/>
      <c r="AH22" s="21"/>
      <c r="AI22" s="19"/>
      <c r="AJ22" s="21"/>
      <c r="AK22" s="22">
        <f t="shared" si="3"/>
        <v>0</v>
      </c>
      <c r="AL22" s="175"/>
      <c r="AM22" s="174"/>
      <c r="AN22" s="174"/>
      <c r="AO22" s="174"/>
      <c r="AP22" s="174"/>
      <c r="AQ22" s="174">
        <f>AA22*AD22%</f>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0.4</v>
      </c>
      <c r="P23" s="174"/>
      <c r="Q23" s="174"/>
      <c r="R23" s="174"/>
      <c r="S23" s="174"/>
      <c r="T23" s="174"/>
      <c r="U23" s="174"/>
      <c r="V23" s="174"/>
      <c r="W23" s="174"/>
      <c r="X23" s="174"/>
      <c r="Y23" s="174"/>
      <c r="Z23" s="174"/>
      <c r="AA23" s="21">
        <f t="shared" si="0"/>
        <v>0.4</v>
      </c>
      <c r="AB23" s="128" t="s">
        <v>14</v>
      </c>
      <c r="AC23" s="20">
        <v>100</v>
      </c>
      <c r="AD23" s="20"/>
      <c r="AE23" s="20"/>
      <c r="AF23" s="21"/>
      <c r="AG23" s="19">
        <f>AA23*AC23/100</f>
        <v>0.4</v>
      </c>
      <c r="AH23" s="21"/>
      <c r="AI23" s="19"/>
      <c r="AJ23" s="21"/>
      <c r="AK23" s="22">
        <f t="shared" si="3"/>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707.28</v>
      </c>
      <c r="N24" s="174"/>
      <c r="O24" s="174"/>
      <c r="P24" s="174"/>
      <c r="Q24" s="174"/>
      <c r="R24" s="174"/>
      <c r="S24" s="174"/>
      <c r="T24" s="174"/>
      <c r="U24" s="174"/>
      <c r="V24" s="174"/>
      <c r="W24" s="174"/>
      <c r="X24" s="174"/>
      <c r="Y24" s="174"/>
      <c r="Z24" s="174"/>
      <c r="AA24" s="21">
        <f t="shared" si="0"/>
        <v>707.28</v>
      </c>
      <c r="AB24" s="128" t="s">
        <v>26</v>
      </c>
      <c r="AC24" s="20">
        <v>100</v>
      </c>
      <c r="AD24" s="20"/>
      <c r="AE24" s="20"/>
      <c r="AF24" s="21"/>
      <c r="AG24" s="19">
        <f>AC24*AA24/100</f>
        <v>707.28</v>
      </c>
      <c r="AH24" s="21"/>
      <c r="AI24" s="19"/>
      <c r="AJ24" s="21"/>
      <c r="AK24" s="22">
        <f t="shared" si="3"/>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f t="shared" si="0"/>
        <v>0</v>
      </c>
      <c r="AB25" s="128" t="s">
        <v>75</v>
      </c>
      <c r="AC25" s="170">
        <v>100</v>
      </c>
      <c r="AD25" s="174"/>
      <c r="AE25" s="174"/>
      <c r="AF25" s="169"/>
      <c r="AG25" s="170">
        <f>AC25*AA25/100</f>
        <v>0</v>
      </c>
      <c r="AH25" s="169"/>
      <c r="AI25" s="19"/>
      <c r="AJ25" s="21"/>
      <c r="AK25" s="22">
        <f t="shared" si="3"/>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f t="shared" si="0"/>
        <v>0</v>
      </c>
      <c r="AB26" s="128" t="s">
        <v>638</v>
      </c>
      <c r="AC26" s="153">
        <v>100</v>
      </c>
      <c r="AD26" s="174"/>
      <c r="AE26" s="174"/>
      <c r="AF26" s="169"/>
      <c r="AG26" s="170">
        <f>AC26*AA26/100</f>
        <v>0</v>
      </c>
      <c r="AH26" s="169"/>
      <c r="AI26" s="19"/>
      <c r="AJ26" s="21"/>
      <c r="AK26" s="22">
        <f t="shared" si="3"/>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f>-(I27*33.3%)/AD27%</f>
        <v>0</v>
      </c>
      <c r="S27" s="24">
        <f>-(I27*10.5%)/AD27%</f>
        <v>0</v>
      </c>
      <c r="T27" s="24">
        <f>-(I27*6.6%)/AD27%</f>
        <v>0</v>
      </c>
      <c r="U27" s="24"/>
      <c r="V27" s="24"/>
      <c r="W27" s="24">
        <f>-(I27*49.6%)/AD27%</f>
        <v>0</v>
      </c>
      <c r="X27" s="172"/>
      <c r="Y27" s="172"/>
      <c r="Z27" s="172"/>
      <c r="AA27" s="21">
        <f t="shared" si="0"/>
        <v>0</v>
      </c>
      <c r="AB27" s="129" t="s">
        <v>174</v>
      </c>
      <c r="AC27" s="180"/>
      <c r="AD27" s="172">
        <v>100</v>
      </c>
      <c r="AE27" s="172"/>
      <c r="AF27" s="173"/>
      <c r="AG27" s="181"/>
      <c r="AH27" s="173"/>
      <c r="AI27" s="6"/>
      <c r="AJ27" s="7"/>
      <c r="AK27" s="22">
        <f t="shared" si="3"/>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f>AA28*46%</f>
        <v>17.7422</v>
      </c>
      <c r="S28" s="2"/>
      <c r="T28" s="2"/>
      <c r="U28" s="2"/>
      <c r="V28" s="2"/>
      <c r="W28" s="153">
        <f>AA28*54%</f>
        <v>20.8278</v>
      </c>
      <c r="X28" s="172"/>
      <c r="Y28" s="172"/>
      <c r="Z28" s="172"/>
      <c r="AA28" s="25">
        <v>38.57</v>
      </c>
      <c r="AB28" s="129" t="s">
        <v>173</v>
      </c>
      <c r="AC28" s="153">
        <v>34.200000000000003</v>
      </c>
      <c r="AD28" s="2"/>
      <c r="AE28" s="172"/>
      <c r="AF28" s="173"/>
      <c r="AG28" s="170">
        <f>AA28*AC28/100</f>
        <v>13.190940000000001</v>
      </c>
      <c r="AH28" s="169"/>
      <c r="AI28" s="170">
        <f>AA28*AE28/100</f>
        <v>0</v>
      </c>
      <c r="AJ28" s="169"/>
      <c r="AK28" s="22">
        <f t="shared" si="3"/>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f t="shared" si="0"/>
        <v>0</v>
      </c>
      <c r="AB29" s="129" t="s">
        <v>184</v>
      </c>
      <c r="AC29" s="155">
        <v>0</v>
      </c>
      <c r="AD29" s="172"/>
      <c r="AE29" s="153">
        <v>0</v>
      </c>
      <c r="AF29" s="169"/>
      <c r="AG29" s="170">
        <f>AA29*AC29/100</f>
        <v>0</v>
      </c>
      <c r="AH29" s="169"/>
      <c r="AI29" s="19">
        <f>AA29*AE29/100</f>
        <v>0</v>
      </c>
      <c r="AJ29" s="21"/>
      <c r="AK29" s="22">
        <f t="shared" si="3"/>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f t="shared" si="0"/>
        <v>0</v>
      </c>
      <c r="AB30" s="129" t="s">
        <v>13</v>
      </c>
      <c r="AC30" s="181"/>
      <c r="AD30" s="172"/>
      <c r="AE30" s="153">
        <v>0</v>
      </c>
      <c r="AF30" s="169"/>
      <c r="AG30" s="170"/>
      <c r="AH30" s="169"/>
      <c r="AI30" s="19">
        <f>AA30*AE30/100</f>
        <v>0</v>
      </c>
      <c r="AJ30" s="21"/>
      <c r="AK30" s="22">
        <f t="shared" si="3"/>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f>AI31-AH31</f>
        <v>0</v>
      </c>
      <c r="R31" s="172"/>
      <c r="S31" s="172"/>
      <c r="T31" s="172"/>
      <c r="U31" s="172"/>
      <c r="V31" s="172"/>
      <c r="W31" s="172"/>
      <c r="X31" s="172"/>
      <c r="Y31" s="172"/>
      <c r="Z31" s="172"/>
      <c r="AA31" s="21">
        <f t="shared" si="0"/>
        <v>0</v>
      </c>
      <c r="AB31" s="129" t="s">
        <v>171</v>
      </c>
      <c r="AC31" s="170"/>
      <c r="AD31" s="174"/>
      <c r="AE31" s="24">
        <v>300</v>
      </c>
      <c r="AF31" s="169"/>
      <c r="AG31" s="181">
        <f>-AH31/$D$2%</f>
        <v>0</v>
      </c>
      <c r="AH31" s="700">
        <v>0</v>
      </c>
      <c r="AI31" s="182">
        <f>AH31*AE31%</f>
        <v>0</v>
      </c>
      <c r="AJ31" s="7"/>
      <c r="AK31" s="22">
        <f t="shared" si="3"/>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f t="shared" si="0"/>
        <v>0</v>
      </c>
      <c r="AB32" s="129" t="s">
        <v>172</v>
      </c>
      <c r="AC32" s="170"/>
      <c r="AD32" s="174"/>
      <c r="AE32" s="24">
        <v>100</v>
      </c>
      <c r="AF32" s="169"/>
      <c r="AG32" s="181">
        <f>-AH32/$D$2%</f>
        <v>0</v>
      </c>
      <c r="AH32" s="700">
        <v>0</v>
      </c>
      <c r="AI32" s="170">
        <f>AH32*AE32%</f>
        <v>0</v>
      </c>
      <c r="AJ32" s="7"/>
      <c r="AK32" s="22">
        <f t="shared" si="3"/>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f t="shared" si="0"/>
        <v>0</v>
      </c>
      <c r="AB33" s="129" t="s">
        <v>27</v>
      </c>
      <c r="AC33" s="181"/>
      <c r="AD33" s="172"/>
      <c r="AE33" s="172"/>
      <c r="AF33" s="156">
        <v>75</v>
      </c>
      <c r="AG33" s="170"/>
      <c r="AH33" s="169"/>
      <c r="AI33" s="19">
        <f>-SUM(AI29:AI32)</f>
        <v>0</v>
      </c>
      <c r="AJ33" s="21">
        <f>-AI33*AF33%</f>
        <v>0</v>
      </c>
      <c r="AK33" s="22">
        <f>SUM(AL33:AT33)</f>
        <v>0</v>
      </c>
      <c r="AL33" s="30">
        <f>AJ33*63.1%</f>
        <v>0</v>
      </c>
      <c r="AM33" s="30">
        <f>AJ33*9.6%</f>
        <v>0</v>
      </c>
      <c r="AN33" s="20">
        <f>AJ33*12.4%</f>
        <v>0</v>
      </c>
      <c r="AO33" s="20">
        <f>AJ33*7.2%</f>
        <v>0</v>
      </c>
      <c r="AP33" s="20">
        <f>AJ33*0%</f>
        <v>0</v>
      </c>
      <c r="AQ33" s="20">
        <f>AJ33*5.7%</f>
        <v>0</v>
      </c>
      <c r="AR33" s="20">
        <f>AJ33*2%</f>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f t="shared" si="0"/>
        <v>0</v>
      </c>
      <c r="AB34" s="129" t="s">
        <v>185</v>
      </c>
      <c r="AC34" s="155">
        <v>0</v>
      </c>
      <c r="AD34" s="172"/>
      <c r="AE34" s="153">
        <v>0</v>
      </c>
      <c r="AF34" s="173"/>
      <c r="AG34" s="170">
        <f>AA34*AC34/100</f>
        <v>0</v>
      </c>
      <c r="AH34" s="169"/>
      <c r="AI34" s="19">
        <f>AA34*AE34/100</f>
        <v>0</v>
      </c>
      <c r="AJ34" s="21"/>
      <c r="AK34" s="22">
        <f t="shared" si="3"/>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f t="shared" si="0"/>
        <v>0</v>
      </c>
      <c r="AB35" s="129" t="s">
        <v>7</v>
      </c>
      <c r="AC35" s="181"/>
      <c r="AD35" s="172"/>
      <c r="AE35" s="153">
        <v>0</v>
      </c>
      <c r="AF35" s="173"/>
      <c r="AG35" s="170">
        <f>AA35*AC35/100</f>
        <v>0</v>
      </c>
      <c r="AH35" s="169"/>
      <c r="AI35" s="19">
        <f>AA35*AE35/100</f>
        <v>0</v>
      </c>
      <c r="AJ35" s="21"/>
      <c r="AK35" s="22">
        <f t="shared" si="3"/>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f t="shared" si="0"/>
        <v>0</v>
      </c>
      <c r="AB36" s="130" t="s">
        <v>28</v>
      </c>
      <c r="AC36" s="181"/>
      <c r="AD36" s="172"/>
      <c r="AE36" s="172"/>
      <c r="AF36" s="156">
        <v>75</v>
      </c>
      <c r="AG36" s="170"/>
      <c r="AH36" s="169"/>
      <c r="AI36" s="19">
        <f>-SUM(AI34:AI35)</f>
        <v>0</v>
      </c>
      <c r="AJ36" s="21">
        <f>-AI36*AF36%</f>
        <v>0</v>
      </c>
      <c r="AK36" s="22">
        <f t="shared" si="3"/>
        <v>0</v>
      </c>
      <c r="AL36" s="30">
        <f>AJ36*63.1%</f>
        <v>0</v>
      </c>
      <c r="AM36" s="30">
        <f>AJ36*9.6%</f>
        <v>0</v>
      </c>
      <c r="AN36" s="20">
        <f>AJ36*12.4%</f>
        <v>0</v>
      </c>
      <c r="AO36" s="20">
        <f>AJ36*7.2%</f>
        <v>0</v>
      </c>
      <c r="AP36" s="20">
        <f>AJ36*0%</f>
        <v>0</v>
      </c>
      <c r="AQ36" s="20">
        <f>AJ36*5.7%</f>
        <v>0</v>
      </c>
      <c r="AR36" s="20">
        <f>AJ36*2%</f>
        <v>0</v>
      </c>
      <c r="AS36" s="153"/>
      <c r="AT36" s="21"/>
    </row>
    <row r="37" spans="1:47" ht="15" customHeight="1" x14ac:dyDescent="0.2">
      <c r="A37" s="20"/>
      <c r="B37" s="153">
        <v>0</v>
      </c>
      <c r="C37" s="153">
        <v>0</v>
      </c>
      <c r="D37" s="153">
        <v>0</v>
      </c>
      <c r="E37" s="153">
        <v>0</v>
      </c>
      <c r="F37" s="153">
        <v>0</v>
      </c>
      <c r="G37" s="153">
        <v>0</v>
      </c>
      <c r="H37" s="153">
        <v>0</v>
      </c>
      <c r="I37" s="153">
        <v>415.1</v>
      </c>
      <c r="J37" s="692"/>
      <c r="K37" s="153"/>
      <c r="L37" s="153"/>
      <c r="M37" s="153">
        <v>0</v>
      </c>
      <c r="N37" s="153">
        <v>0</v>
      </c>
      <c r="O37" s="153">
        <v>0</v>
      </c>
      <c r="P37" s="153">
        <v>0</v>
      </c>
      <c r="Q37" s="153">
        <v>0</v>
      </c>
      <c r="R37" s="153">
        <v>1.2</v>
      </c>
      <c r="S37" s="153">
        <v>0</v>
      </c>
      <c r="T37" s="153">
        <v>0</v>
      </c>
      <c r="U37" s="153">
        <v>0</v>
      </c>
      <c r="V37" s="153">
        <v>0</v>
      </c>
      <c r="W37" s="153">
        <v>0</v>
      </c>
      <c r="X37" s="153">
        <v>0</v>
      </c>
      <c r="Y37" s="153">
        <v>3.3</v>
      </c>
      <c r="Z37" s="153">
        <v>0</v>
      </c>
      <c r="AA37" s="21">
        <f t="shared" si="0"/>
        <v>419.6</v>
      </c>
      <c r="AB37" s="130" t="s">
        <v>186</v>
      </c>
      <c r="AC37" s="155">
        <v>40.001382268827449</v>
      </c>
      <c r="AD37" s="172"/>
      <c r="AE37" s="153">
        <v>47.100905624404191</v>
      </c>
      <c r="AF37" s="173"/>
      <c r="AG37" s="19">
        <f>AA37*AC37/100</f>
        <v>167.84579999999997</v>
      </c>
      <c r="AH37" s="21"/>
      <c r="AI37" s="19">
        <f t="shared" ref="AI37" si="5">AA37*AE37/100</f>
        <v>197.6354</v>
      </c>
      <c r="AJ37" s="21"/>
      <c r="AK37" s="22">
        <f t="shared" si="3"/>
        <v>0</v>
      </c>
      <c r="AL37" s="175"/>
      <c r="AM37" s="174"/>
      <c r="AN37" s="174"/>
      <c r="AO37" s="174"/>
      <c r="AP37" s="174"/>
      <c r="AQ37" s="174"/>
      <c r="AR37" s="174"/>
      <c r="AS37" s="174"/>
      <c r="AT37" s="21"/>
    </row>
    <row r="38" spans="1:47" ht="15" customHeight="1" x14ac:dyDescent="0.2">
      <c r="A38" s="20"/>
      <c r="B38" s="153">
        <v>0</v>
      </c>
      <c r="C38" s="153">
        <v>0</v>
      </c>
      <c r="D38" s="153">
        <v>0</v>
      </c>
      <c r="E38" s="153">
        <v>197.1</v>
      </c>
      <c r="F38" s="153">
        <v>0</v>
      </c>
      <c r="G38" s="153">
        <v>0</v>
      </c>
      <c r="H38" s="153">
        <v>0</v>
      </c>
      <c r="I38" s="153">
        <v>40.9</v>
      </c>
      <c r="J38" s="31"/>
      <c r="K38" s="153"/>
      <c r="L38" s="153"/>
      <c r="M38" s="153">
        <v>0</v>
      </c>
      <c r="N38" s="153">
        <v>0</v>
      </c>
      <c r="O38" s="153">
        <v>0</v>
      </c>
      <c r="P38" s="153">
        <v>0</v>
      </c>
      <c r="Q38" s="153">
        <v>0</v>
      </c>
      <c r="R38" s="153">
        <v>0</v>
      </c>
      <c r="S38" s="153">
        <v>0</v>
      </c>
      <c r="T38" s="153">
        <v>0</v>
      </c>
      <c r="U38" s="153">
        <v>47.5</v>
      </c>
      <c r="V38" s="153">
        <v>439.7</v>
      </c>
      <c r="W38" s="153">
        <v>0</v>
      </c>
      <c r="X38" s="153">
        <v>0</v>
      </c>
      <c r="Y38" s="153">
        <v>0</v>
      </c>
      <c r="Z38" s="153">
        <v>0</v>
      </c>
      <c r="AA38" s="21">
        <f t="shared" si="0"/>
        <v>725.2</v>
      </c>
      <c r="AB38" s="130" t="s">
        <v>209</v>
      </c>
      <c r="AC38" s="181"/>
      <c r="AD38" s="172"/>
      <c r="AE38" s="153">
        <v>83.553017098731388</v>
      </c>
      <c r="AF38" s="173"/>
      <c r="AG38" s="19">
        <f>AA38*AC38/100</f>
        <v>0</v>
      </c>
      <c r="AH38" s="21"/>
      <c r="AI38" s="19">
        <f>AA38*AE38/100</f>
        <v>605.92648000000008</v>
      </c>
      <c r="AJ38" s="21"/>
      <c r="AK38" s="22">
        <f t="shared" si="3"/>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f>AI39-AH39</f>
        <v>0</v>
      </c>
      <c r="R39" s="2"/>
      <c r="S39" s="2"/>
      <c r="T39" s="2"/>
      <c r="U39" s="2"/>
      <c r="V39" s="2"/>
      <c r="W39" s="2"/>
      <c r="X39" s="2"/>
      <c r="Y39" s="2"/>
      <c r="Z39" s="2"/>
      <c r="AA39" s="21">
        <f t="shared" si="0"/>
        <v>0</v>
      </c>
      <c r="AB39" s="130" t="s">
        <v>210</v>
      </c>
      <c r="AC39" s="170"/>
      <c r="AD39" s="174"/>
      <c r="AE39" s="153">
        <v>0</v>
      </c>
      <c r="AF39" s="169"/>
      <c r="AG39" s="181">
        <f>-AH39/$D$2%</f>
        <v>0</v>
      </c>
      <c r="AH39" s="700">
        <v>0</v>
      </c>
      <c r="AI39" s="170">
        <f>(AH39+I39)*AE39%</f>
        <v>0</v>
      </c>
      <c r="AJ39" s="173"/>
      <c r="AK39" s="22">
        <f t="shared" si="3"/>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f t="shared" si="0"/>
        <v>0</v>
      </c>
      <c r="AB40" s="130" t="s">
        <v>211</v>
      </c>
      <c r="AC40" s="170"/>
      <c r="AD40" s="174"/>
      <c r="AE40" s="153">
        <v>0</v>
      </c>
      <c r="AF40" s="169"/>
      <c r="AG40" s="181">
        <f>-AH40/$D$2%</f>
        <v>0</v>
      </c>
      <c r="AH40" s="700">
        <v>0</v>
      </c>
      <c r="AI40" s="181">
        <f>AH40*AE40%</f>
        <v>0</v>
      </c>
      <c r="AJ40" s="173"/>
      <c r="AK40" s="22">
        <f t="shared" si="3"/>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f t="shared" si="0"/>
        <v>0</v>
      </c>
      <c r="AB41" s="130" t="s">
        <v>212</v>
      </c>
      <c r="AC41" s="181"/>
      <c r="AD41" s="172"/>
      <c r="AE41" s="153">
        <v>0</v>
      </c>
      <c r="AF41" s="173"/>
      <c r="AG41" s="19"/>
      <c r="AH41" s="21"/>
      <c r="AI41" s="19">
        <f t="shared" ref="AI41:AI42" si="6">AA41*AE41/100</f>
        <v>0</v>
      </c>
      <c r="AJ41" s="21"/>
      <c r="AK41" s="22">
        <f t="shared" si="3"/>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f t="shared" si="0"/>
        <v>0</v>
      </c>
      <c r="AB42" s="130" t="s">
        <v>213</v>
      </c>
      <c r="AC42" s="181"/>
      <c r="AD42" s="172"/>
      <c r="AE42" s="153">
        <v>100</v>
      </c>
      <c r="AF42" s="173"/>
      <c r="AG42" s="19">
        <f>AA42*AC42/100</f>
        <v>0</v>
      </c>
      <c r="AH42" s="21"/>
      <c r="AI42" s="19">
        <f t="shared" si="6"/>
        <v>0</v>
      </c>
      <c r="AJ42" s="21"/>
      <c r="AK42" s="22">
        <f t="shared" si="3"/>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f t="shared" si="0"/>
        <v>0</v>
      </c>
      <c r="AB43" s="130" t="s">
        <v>214</v>
      </c>
      <c r="AC43" s="181"/>
      <c r="AD43" s="172"/>
      <c r="AE43" s="172"/>
      <c r="AF43" s="156">
        <v>75</v>
      </c>
      <c r="AG43" s="170"/>
      <c r="AH43" s="169"/>
      <c r="AI43" s="170">
        <f>-SUM(AI37:AI42)</f>
        <v>-803.56188000000009</v>
      </c>
      <c r="AJ43" s="169">
        <f>-AI43*AF43%</f>
        <v>602.67141000000004</v>
      </c>
      <c r="AK43" s="22">
        <f t="shared" si="3"/>
        <v>602.67141000000004</v>
      </c>
      <c r="AL43" s="30">
        <f>AJ43*63.1%</f>
        <v>380.28565971</v>
      </c>
      <c r="AM43" s="30">
        <f>AJ43*9.6%</f>
        <v>57.856455360000005</v>
      </c>
      <c r="AN43" s="20">
        <f>AJ43*12.4%</f>
        <v>74.731254840000005</v>
      </c>
      <c r="AO43" s="20">
        <f>AJ43*7.2%</f>
        <v>43.392341520000009</v>
      </c>
      <c r="AP43" s="20">
        <f>AJ43*0%</f>
        <v>0</v>
      </c>
      <c r="AQ43" s="20">
        <f>AJ43*5.7%</f>
        <v>34.352270370000006</v>
      </c>
      <c r="AR43" s="20">
        <f>AJ43*2%</f>
        <v>12.053428200000001</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f t="shared" si="0"/>
        <v>0</v>
      </c>
      <c r="AB44" s="130" t="s">
        <v>187</v>
      </c>
      <c r="AC44" s="141">
        <v>0</v>
      </c>
      <c r="AD44" s="172"/>
      <c r="AE44" s="2">
        <v>0</v>
      </c>
      <c r="AF44" s="156"/>
      <c r="AG44" s="19">
        <f>AA44*AC44/100</f>
        <v>0</v>
      </c>
      <c r="AH44" s="169"/>
      <c r="AI44" s="170">
        <f>AA44*AE44/100</f>
        <v>0</v>
      </c>
      <c r="AJ44" s="169"/>
      <c r="AK44" s="22">
        <f t="shared" ref="AK44:AK59" si="7">SUM(AL44:AT44)</f>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f t="shared" si="0"/>
        <v>0</v>
      </c>
      <c r="AB45" s="130" t="s">
        <v>188</v>
      </c>
      <c r="AC45" s="181"/>
      <c r="AD45" s="172"/>
      <c r="AE45" s="153">
        <v>99</v>
      </c>
      <c r="AF45" s="173"/>
      <c r="AG45" s="170">
        <f>-AH45/$D$2%</f>
        <v>0</v>
      </c>
      <c r="AH45" s="169"/>
      <c r="AI45" s="170">
        <f>AA45*AE45%</f>
        <v>0</v>
      </c>
      <c r="AJ45" s="169"/>
      <c r="AK45" s="22">
        <f t="shared" si="7"/>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f>AI46-AH46</f>
        <v>0</v>
      </c>
      <c r="R46" s="24"/>
      <c r="S46" s="24"/>
      <c r="T46" s="24"/>
      <c r="U46" s="24"/>
      <c r="V46" s="24"/>
      <c r="W46" s="24"/>
      <c r="X46" s="24"/>
      <c r="Y46" s="24"/>
      <c r="Z46" s="24"/>
      <c r="AA46" s="29">
        <f t="shared" si="0"/>
        <v>0</v>
      </c>
      <c r="AB46" s="130" t="s">
        <v>189</v>
      </c>
      <c r="AC46" s="170"/>
      <c r="AD46" s="174"/>
      <c r="AE46" s="153">
        <v>300</v>
      </c>
      <c r="AF46" s="169"/>
      <c r="AG46" s="170">
        <f>-AH46/$D$2%</f>
        <v>0</v>
      </c>
      <c r="AH46" s="156"/>
      <c r="AI46" s="170">
        <f>(AH46+I46)*AE46%</f>
        <v>0</v>
      </c>
      <c r="AJ46" s="21"/>
      <c r="AK46" s="22">
        <f t="shared" si="7"/>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f t="shared" si="0"/>
        <v>0</v>
      </c>
      <c r="AB47" s="130" t="s">
        <v>190</v>
      </c>
      <c r="AC47" s="170"/>
      <c r="AD47" s="174"/>
      <c r="AE47" s="153">
        <v>100</v>
      </c>
      <c r="AF47" s="169"/>
      <c r="AG47" s="170">
        <f>-AH47/$D$2%</f>
        <v>0</v>
      </c>
      <c r="AH47" s="156"/>
      <c r="AI47" s="181">
        <f>AH47*AE47%</f>
        <v>0</v>
      </c>
      <c r="AJ47" s="169"/>
      <c r="AK47" s="22">
        <f t="shared" si="7"/>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f t="shared" si="0"/>
        <v>0</v>
      </c>
      <c r="AB48" s="130" t="s">
        <v>191</v>
      </c>
      <c r="AC48" s="170"/>
      <c r="AD48" s="174"/>
      <c r="AE48" s="24">
        <v>100</v>
      </c>
      <c r="AF48" s="169"/>
      <c r="AG48" s="170"/>
      <c r="AH48" s="169"/>
      <c r="AI48" s="170">
        <f>AA48*AE48/100</f>
        <v>0</v>
      </c>
      <c r="AJ48" s="169"/>
      <c r="AK48" s="22">
        <f t="shared" si="7"/>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f t="shared" si="0"/>
        <v>0</v>
      </c>
      <c r="AB49" s="130" t="s">
        <v>192</v>
      </c>
      <c r="AC49" s="181"/>
      <c r="AD49" s="172"/>
      <c r="AE49" s="153">
        <v>100</v>
      </c>
      <c r="AF49" s="173"/>
      <c r="AG49" s="170">
        <f>AA49*AC49%</f>
        <v>0</v>
      </c>
      <c r="AH49" s="169"/>
      <c r="AI49" s="170">
        <f>AA49*AE49%</f>
        <v>0</v>
      </c>
      <c r="AJ49" s="169"/>
      <c r="AK49" s="22">
        <f t="shared" si="7"/>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f t="shared" si="0"/>
        <v>0</v>
      </c>
      <c r="AB50" s="130" t="s">
        <v>193</v>
      </c>
      <c r="AC50" s="181"/>
      <c r="AD50" s="172"/>
      <c r="AE50" s="2">
        <v>100</v>
      </c>
      <c r="AF50" s="173"/>
      <c r="AG50" s="170"/>
      <c r="AH50" s="169"/>
      <c r="AI50" s="33"/>
      <c r="AJ50" s="169"/>
      <c r="AK50" s="22">
        <f t="shared" si="7"/>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f t="shared" si="0"/>
        <v>0</v>
      </c>
      <c r="AB51" s="130" t="s">
        <v>194</v>
      </c>
      <c r="AC51" s="181"/>
      <c r="AD51" s="172"/>
      <c r="AE51" s="172"/>
      <c r="AF51" s="156">
        <v>75</v>
      </c>
      <c r="AG51" s="170"/>
      <c r="AH51" s="169"/>
      <c r="AI51" s="6">
        <f>-SUM(AI44:AI50)</f>
        <v>0</v>
      </c>
      <c r="AJ51" s="169">
        <f>-AI51*AF51/100</f>
        <v>0</v>
      </c>
      <c r="AK51" s="22">
        <f t="shared" si="7"/>
        <v>0</v>
      </c>
      <c r="AL51" s="30">
        <f>AJ51*63.1%</f>
        <v>0</v>
      </c>
      <c r="AM51" s="30">
        <f>AJ51*9.6%</f>
        <v>0</v>
      </c>
      <c r="AN51" s="20">
        <f>AJ51*12.4%</f>
        <v>0</v>
      </c>
      <c r="AO51" s="20">
        <f>AJ51*7.2%</f>
        <v>0</v>
      </c>
      <c r="AP51" s="20">
        <f>AJ51*0%</f>
        <v>0</v>
      </c>
      <c r="AQ51" s="20">
        <f>AJ51*5.7%</f>
        <v>0</v>
      </c>
      <c r="AR51" s="20">
        <f>AJ51*2%</f>
        <v>0</v>
      </c>
      <c r="AS51" s="153"/>
      <c r="AT51" s="21"/>
    </row>
    <row r="52" spans="1:46" ht="15" customHeight="1" x14ac:dyDescent="0.2">
      <c r="A52" s="20"/>
      <c r="B52" s="153">
        <v>0</v>
      </c>
      <c r="C52" s="153">
        <v>0</v>
      </c>
      <c r="D52" s="153">
        <v>0</v>
      </c>
      <c r="E52" s="153">
        <v>0</v>
      </c>
      <c r="F52" s="153">
        <v>0</v>
      </c>
      <c r="G52" s="153">
        <v>0</v>
      </c>
      <c r="H52" s="153">
        <v>0</v>
      </c>
      <c r="I52" s="153">
        <v>10.6</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f t="shared" si="0"/>
        <v>10.6</v>
      </c>
      <c r="AB52" s="130" t="s">
        <v>195</v>
      </c>
      <c r="AC52" s="155">
        <v>36.369999999999997</v>
      </c>
      <c r="AD52" s="172"/>
      <c r="AE52" s="153">
        <v>49.54</v>
      </c>
      <c r="AF52" s="173"/>
      <c r="AG52" s="19">
        <f t="shared" ref="AG52:AG54" si="8">AC52/100*AA52</f>
        <v>3.8552199999999996</v>
      </c>
      <c r="AH52" s="21"/>
      <c r="AI52" s="19">
        <f>AA52*AE52/100</f>
        <v>5.2512400000000001</v>
      </c>
      <c r="AJ52" s="21"/>
      <c r="AK52" s="22">
        <f t="shared" si="7"/>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22.1</v>
      </c>
      <c r="W53" s="24">
        <v>0</v>
      </c>
      <c r="X53" s="24">
        <v>0</v>
      </c>
      <c r="Y53" s="24">
        <v>0</v>
      </c>
      <c r="Z53" s="24">
        <v>0</v>
      </c>
      <c r="AA53" s="29">
        <f t="shared" si="0"/>
        <v>22.1</v>
      </c>
      <c r="AB53" s="130" t="s">
        <v>196</v>
      </c>
      <c r="AC53" s="181"/>
      <c r="AD53" s="172"/>
      <c r="AE53" s="153">
        <v>55</v>
      </c>
      <c r="AF53" s="173"/>
      <c r="AG53" s="19">
        <f t="shared" si="8"/>
        <v>0</v>
      </c>
      <c r="AH53" s="21"/>
      <c r="AI53" s="19">
        <f>AA53*AE53/100</f>
        <v>12.154999999999999</v>
      </c>
      <c r="AJ53" s="21"/>
      <c r="AK53" s="22">
        <f t="shared" si="7"/>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f t="shared" si="0"/>
        <v>0</v>
      </c>
      <c r="AB54" s="130" t="s">
        <v>197</v>
      </c>
      <c r="AC54" s="181"/>
      <c r="AD54" s="172"/>
      <c r="AE54" s="2">
        <v>100</v>
      </c>
      <c r="AF54" s="173"/>
      <c r="AG54" s="19">
        <f t="shared" si="8"/>
        <v>0</v>
      </c>
      <c r="AH54" s="156"/>
      <c r="AI54" s="33">
        <v>0</v>
      </c>
      <c r="AJ54" s="21"/>
      <c r="AK54" s="22">
        <f t="shared" si="7"/>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f t="shared" si="0"/>
        <v>0</v>
      </c>
      <c r="AB55" s="675" t="s">
        <v>198</v>
      </c>
      <c r="AC55" s="6"/>
      <c r="AD55" s="148"/>
      <c r="AE55" s="148"/>
      <c r="AF55" s="183"/>
      <c r="AG55" s="19">
        <f>-AH55</f>
        <v>0</v>
      </c>
      <c r="AH55" s="8">
        <v>0</v>
      </c>
      <c r="AI55" s="141"/>
      <c r="AJ55" s="21"/>
      <c r="AK55" s="22">
        <f t="shared" si="7"/>
        <v>0</v>
      </c>
      <c r="AL55" s="175"/>
      <c r="AM55" s="174"/>
      <c r="AN55" s="174"/>
      <c r="AO55" s="174"/>
      <c r="AP55" s="174"/>
      <c r="AQ55" s="174">
        <f>AH55</f>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f t="shared" si="0"/>
        <v>0</v>
      </c>
      <c r="AB56" s="675" t="s">
        <v>656</v>
      </c>
      <c r="AC56" s="6"/>
      <c r="AD56" s="148"/>
      <c r="AE56" s="148"/>
      <c r="AF56" s="173"/>
      <c r="AG56" s="19"/>
      <c r="AH56" s="173"/>
      <c r="AI56" s="141">
        <v>-9</v>
      </c>
      <c r="AJ56" s="21"/>
      <c r="AK56" s="22">
        <f t="shared" si="7"/>
        <v>9</v>
      </c>
      <c r="AL56" s="175"/>
      <c r="AM56" s="174"/>
      <c r="AN56" s="174"/>
      <c r="AO56" s="174"/>
      <c r="AP56" s="174"/>
      <c r="AQ56" s="174">
        <f>-AI56</f>
        <v>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f t="shared" si="0"/>
        <v>0</v>
      </c>
      <c r="AB57" s="130" t="s">
        <v>200</v>
      </c>
      <c r="AC57" s="6">
        <v>65</v>
      </c>
      <c r="AD57" s="148"/>
      <c r="AE57" s="148">
        <v>15</v>
      </c>
      <c r="AF57" s="173"/>
      <c r="AG57" s="19">
        <f>-AH57/$D$2%</f>
        <v>0</v>
      </c>
      <c r="AH57" s="173"/>
      <c r="AI57" s="141">
        <f>AH57*AE57%</f>
        <v>0</v>
      </c>
      <c r="AJ57" s="21">
        <f>AI57*AF60%</f>
        <v>0</v>
      </c>
      <c r="AK57" s="22">
        <f t="shared" si="7"/>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f t="shared" si="0"/>
        <v>0</v>
      </c>
      <c r="AB58" s="130" t="s">
        <v>201</v>
      </c>
      <c r="AC58" s="6">
        <v>630</v>
      </c>
      <c r="AD58" s="148"/>
      <c r="AE58" s="148"/>
      <c r="AF58" s="173"/>
      <c r="AG58" s="19">
        <f>-AH58/$D$2%</f>
        <v>0</v>
      </c>
      <c r="AH58" s="173"/>
      <c r="AI58" s="141">
        <f t="shared" ref="AI58:AI59" si="9">AH58*AE58%</f>
        <v>0</v>
      </c>
      <c r="AJ58" s="21">
        <f t="shared" ref="AJ58:AJ59" si="10">AI58*AF61%</f>
        <v>0</v>
      </c>
      <c r="AK58" s="22">
        <f t="shared" si="7"/>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f t="shared" si="0"/>
        <v>0</v>
      </c>
      <c r="AB59" s="130" t="s">
        <v>202</v>
      </c>
      <c r="AC59" s="6"/>
      <c r="AD59" s="148"/>
      <c r="AE59" s="148"/>
      <c r="AF59" s="173"/>
      <c r="AG59" s="19">
        <f>-AH59/$D$2%</f>
        <v>0</v>
      </c>
      <c r="AH59" s="173"/>
      <c r="AI59" s="141">
        <f t="shared" si="9"/>
        <v>0</v>
      </c>
      <c r="AJ59" s="21">
        <f t="shared" si="10"/>
        <v>0</v>
      </c>
      <c r="AK59" s="22">
        <f t="shared" si="7"/>
        <v>0</v>
      </c>
      <c r="AL59" s="175"/>
      <c r="AM59" s="175"/>
      <c r="AN59" s="174"/>
      <c r="AO59" s="174"/>
      <c r="AP59" s="174"/>
      <c r="AQ59" s="174"/>
      <c r="AR59" s="174"/>
      <c r="AS59" s="174"/>
      <c r="AT59" s="21"/>
    </row>
    <row r="60" spans="1:46" ht="15" customHeight="1" x14ac:dyDescent="0.2">
      <c r="A60" s="20"/>
      <c r="B60" s="20"/>
      <c r="C60" s="20"/>
      <c r="D60" s="20"/>
      <c r="E60" s="24"/>
      <c r="F60" s="24"/>
      <c r="G60" s="24"/>
      <c r="H60" s="24"/>
      <c r="I60" s="20"/>
      <c r="J60" s="24"/>
      <c r="K60" s="24"/>
      <c r="L60" s="24"/>
      <c r="M60" s="20"/>
      <c r="N60" s="20"/>
      <c r="O60" s="20"/>
      <c r="P60" s="20"/>
      <c r="Q60" s="20"/>
      <c r="R60" s="20"/>
      <c r="S60" s="174"/>
      <c r="T60" s="20"/>
      <c r="U60" s="20"/>
      <c r="V60" s="20"/>
      <c r="W60" s="20"/>
      <c r="X60" s="20"/>
      <c r="Y60" s="20"/>
      <c r="Z60" s="20"/>
      <c r="AA60" s="29">
        <f t="shared" si="0"/>
        <v>0</v>
      </c>
      <c r="AB60" s="130" t="s">
        <v>203</v>
      </c>
      <c r="AC60" s="181"/>
      <c r="AD60" s="172"/>
      <c r="AE60" s="172"/>
      <c r="AF60" s="156">
        <v>75</v>
      </c>
      <c r="AG60" s="19"/>
      <c r="AH60" s="21"/>
      <c r="AI60" s="19">
        <f>-SUM(AI52:AI59)</f>
        <v>-8.4062400000000004</v>
      </c>
      <c r="AJ60" s="21">
        <f>-AI60*AF60/100</f>
        <v>6.3046800000000012</v>
      </c>
      <c r="AK60" s="22">
        <f t="shared" ref="AK60:AK61" si="11">SUM(AL60:AT60)</f>
        <v>6.3046800000000012</v>
      </c>
      <c r="AL60" s="30">
        <f>AJ60*63.1%</f>
        <v>3.9782530800000009</v>
      </c>
      <c r="AM60" s="30">
        <f>AJ60*9.6%</f>
        <v>0.60524928000000011</v>
      </c>
      <c r="AN60" s="20">
        <f>AJ60*12.4%</f>
        <v>0.7817803200000002</v>
      </c>
      <c r="AO60" s="20">
        <f>AJ60*7.2%</f>
        <v>0.45393696000000011</v>
      </c>
      <c r="AP60" s="20">
        <f>AJ60*0%</f>
        <v>0</v>
      </c>
      <c r="AQ60" s="20">
        <f>AJ60*5.7%</f>
        <v>0.35936676000000006</v>
      </c>
      <c r="AR60" s="20">
        <f>AJ60*2%</f>
        <v>0.12609360000000003</v>
      </c>
      <c r="AS60" s="153"/>
      <c r="AT60" s="21"/>
    </row>
    <row r="61" spans="1:46" ht="15" customHeight="1" x14ac:dyDescent="0.2">
      <c r="A61" s="19"/>
      <c r="B61" s="20"/>
      <c r="C61" s="20"/>
      <c r="D61" s="20"/>
      <c r="E61" s="24"/>
      <c r="F61" s="172"/>
      <c r="G61" s="172"/>
      <c r="H61" s="153">
        <f>AA61-S61</f>
        <v>694.17025183689668</v>
      </c>
      <c r="I61" s="172"/>
      <c r="J61" s="172"/>
      <c r="K61" s="172"/>
      <c r="L61" s="172"/>
      <c r="M61" s="172"/>
      <c r="N61" s="172"/>
      <c r="O61" s="172"/>
      <c r="P61" s="172"/>
      <c r="Q61" s="172"/>
      <c r="R61" s="172"/>
      <c r="S61" s="153">
        <f>AA61*0.3%</f>
        <v>2.0887770867710032</v>
      </c>
      <c r="T61" s="174"/>
      <c r="U61" s="20"/>
      <c r="V61" s="20"/>
      <c r="W61" s="20"/>
      <c r="X61" s="20"/>
      <c r="Y61" s="20"/>
      <c r="Z61" s="20"/>
      <c r="AA61" s="153">
        <v>696.25902892366764</v>
      </c>
      <c r="AB61" s="130" t="s">
        <v>204</v>
      </c>
      <c r="AC61" s="170"/>
      <c r="AD61" s="174">
        <v>19</v>
      </c>
      <c r="AE61" s="174"/>
      <c r="AF61" s="21"/>
      <c r="AG61" s="19"/>
      <c r="AH61" s="21"/>
      <c r="AI61" s="19"/>
      <c r="AJ61" s="21"/>
      <c r="AK61" s="22">
        <f t="shared" si="11"/>
        <v>132.28921549549685</v>
      </c>
      <c r="AL61" s="30"/>
      <c r="AM61" s="20"/>
      <c r="AN61" s="20"/>
      <c r="AO61" s="20"/>
      <c r="AP61" s="20"/>
      <c r="AQ61" s="20"/>
      <c r="AR61" s="20"/>
      <c r="AS61" s="20"/>
      <c r="AT61" s="21">
        <f>AA61*AD61/100</f>
        <v>132.28921549549685</v>
      </c>
    </row>
    <row r="62" spans="1:46" ht="15" customHeight="1" x14ac:dyDescent="0.2">
      <c r="A62" s="19"/>
      <c r="B62" s="20"/>
      <c r="C62" s="20"/>
      <c r="D62" s="20"/>
      <c r="E62" s="24"/>
      <c r="F62" s="153">
        <f>AA62-S62</f>
        <v>547.37333134626545</v>
      </c>
      <c r="G62" s="172"/>
      <c r="H62" s="172"/>
      <c r="I62" s="172"/>
      <c r="J62" s="172"/>
      <c r="K62" s="172"/>
      <c r="L62" s="172"/>
      <c r="M62" s="172"/>
      <c r="N62" s="172"/>
      <c r="O62" s="172"/>
      <c r="P62" s="172"/>
      <c r="Q62" s="172"/>
      <c r="R62" s="172"/>
      <c r="S62" s="153">
        <f>AA62*0%</f>
        <v>0</v>
      </c>
      <c r="T62" s="174"/>
      <c r="U62" s="20"/>
      <c r="V62" s="20"/>
      <c r="W62" s="20"/>
      <c r="X62" s="20"/>
      <c r="Y62" s="20"/>
      <c r="Z62" s="20"/>
      <c r="AA62" s="153">
        <v>547.37333134626545</v>
      </c>
      <c r="AB62" s="130" t="s">
        <v>205</v>
      </c>
      <c r="AC62" s="170"/>
      <c r="AD62" s="174">
        <v>24.3</v>
      </c>
      <c r="AE62" s="174"/>
      <c r="AF62" s="21"/>
      <c r="AG62" s="19"/>
      <c r="AH62" s="21"/>
      <c r="AI62" s="19"/>
      <c r="AJ62" s="21"/>
      <c r="AK62" s="22">
        <f t="shared" ref="AK62:AK80" si="12">SUM(AL62:AT62)</f>
        <v>133.0117195171425</v>
      </c>
      <c r="AL62" s="30"/>
      <c r="AM62" s="20"/>
      <c r="AN62" s="20"/>
      <c r="AO62" s="20"/>
      <c r="AP62" s="20"/>
      <c r="AQ62" s="20"/>
      <c r="AR62" s="20"/>
      <c r="AS62" s="20"/>
      <c r="AT62" s="21">
        <f>AA62*AD62/100</f>
        <v>133.0117195171425</v>
      </c>
    </row>
    <row r="63" spans="1:46" ht="15" customHeight="1" x14ac:dyDescent="0.2">
      <c r="A63" s="19"/>
      <c r="B63" s="20"/>
      <c r="C63" s="20"/>
      <c r="D63" s="20"/>
      <c r="E63" s="24"/>
      <c r="F63" s="153"/>
      <c r="G63" s="172"/>
      <c r="H63" s="172"/>
      <c r="I63" s="153">
        <v>0</v>
      </c>
      <c r="J63" s="172"/>
      <c r="K63" s="172"/>
      <c r="L63" s="172"/>
      <c r="M63" s="172"/>
      <c r="N63" s="172"/>
      <c r="O63" s="172"/>
      <c r="P63" s="172"/>
      <c r="Q63" s="172"/>
      <c r="R63" s="172"/>
      <c r="S63" s="153"/>
      <c r="T63" s="174"/>
      <c r="U63" s="20"/>
      <c r="V63" s="20"/>
      <c r="W63" s="20"/>
      <c r="X63" s="20"/>
      <c r="Y63" s="20"/>
      <c r="Z63" s="20"/>
      <c r="AA63" s="4">
        <f t="shared" ref="AA63:AA66" si="13">SUM(A63:Z63)</f>
        <v>0</v>
      </c>
      <c r="AB63" s="128" t="s">
        <v>649</v>
      </c>
      <c r="AC63" s="170"/>
      <c r="AD63" s="174">
        <v>22.6</v>
      </c>
      <c r="AE63" s="174"/>
      <c r="AF63" s="21"/>
      <c r="AG63" s="19"/>
      <c r="AH63" s="21"/>
      <c r="AI63" s="19"/>
      <c r="AJ63" s="21"/>
      <c r="AK63" s="22">
        <f t="shared" si="12"/>
        <v>0</v>
      </c>
      <c r="AL63" s="30"/>
      <c r="AM63" s="20"/>
      <c r="AN63" s="20"/>
      <c r="AO63" s="20"/>
      <c r="AP63" s="20"/>
      <c r="AQ63" s="20"/>
      <c r="AR63" s="20"/>
      <c r="AS63" s="20"/>
      <c r="AT63" s="21">
        <f>AA63*AD63/100</f>
        <v>0</v>
      </c>
    </row>
    <row r="64" spans="1:46" ht="15" customHeight="1" x14ac:dyDescent="0.2">
      <c r="A64" s="19"/>
      <c r="B64" s="20"/>
      <c r="C64" s="20"/>
      <c r="D64" s="20"/>
      <c r="E64" s="24"/>
      <c r="F64" s="153"/>
      <c r="G64" s="172"/>
      <c r="H64" s="172"/>
      <c r="I64" s="172"/>
      <c r="J64" s="172"/>
      <c r="K64" s="172"/>
      <c r="L64" s="172"/>
      <c r="M64" s="172"/>
      <c r="N64" s="172"/>
      <c r="O64" s="172"/>
      <c r="P64" s="172"/>
      <c r="Q64" s="172"/>
      <c r="R64" s="172"/>
      <c r="S64" s="153"/>
      <c r="T64" s="174"/>
      <c r="U64" s="20"/>
      <c r="V64" s="20"/>
      <c r="W64" s="20"/>
      <c r="X64" s="20"/>
      <c r="Y64" s="20"/>
      <c r="Z64" s="20"/>
      <c r="AA64" s="4">
        <f t="shared" si="13"/>
        <v>0</v>
      </c>
      <c r="AB64" s="129" t="s">
        <v>650</v>
      </c>
      <c r="AC64" s="170">
        <v>67.7</v>
      </c>
      <c r="AD64" s="174"/>
      <c r="AE64" s="174"/>
      <c r="AF64" s="21"/>
      <c r="AG64" s="19">
        <f t="shared" ref="AG64:AG65" si="14">-AH64/$D$2%</f>
        <v>0</v>
      </c>
      <c r="AH64" s="153">
        <v>0</v>
      </c>
      <c r="AI64" s="19"/>
      <c r="AJ64" s="21"/>
      <c r="AK64" s="22">
        <f t="shared" ref="AK64" si="15">SUM(AL64:AT64)</f>
        <v>0</v>
      </c>
      <c r="AL64" s="30"/>
      <c r="AM64" s="20"/>
      <c r="AN64" s="20"/>
      <c r="AO64" s="20"/>
      <c r="AP64" s="20"/>
      <c r="AQ64" s="20"/>
      <c r="AR64" s="20"/>
      <c r="AS64" s="20"/>
      <c r="AT64" s="21">
        <f>AH64*AC64%</f>
        <v>0</v>
      </c>
    </row>
    <row r="65" spans="1:46" ht="15" customHeight="1" x14ac:dyDescent="0.2">
      <c r="A65" s="19"/>
      <c r="B65" s="20"/>
      <c r="C65" s="20"/>
      <c r="D65" s="20"/>
      <c r="E65" s="24"/>
      <c r="F65" s="153"/>
      <c r="G65" s="172"/>
      <c r="H65" s="172">
        <f>AA65-S65</f>
        <v>0</v>
      </c>
      <c r="I65" s="172"/>
      <c r="J65" s="172"/>
      <c r="K65" s="172"/>
      <c r="L65" s="172"/>
      <c r="M65" s="172"/>
      <c r="N65" s="172"/>
      <c r="O65" s="172"/>
      <c r="P65" s="172"/>
      <c r="Q65" s="172"/>
      <c r="R65" s="172"/>
      <c r="S65" s="153">
        <f>AA65*0%</f>
        <v>0</v>
      </c>
      <c r="T65" s="174"/>
      <c r="U65" s="20"/>
      <c r="V65" s="20"/>
      <c r="W65" s="20"/>
      <c r="X65" s="20"/>
      <c r="Y65" s="20"/>
      <c r="Z65" s="20"/>
      <c r="AA65" s="153">
        <v>0</v>
      </c>
      <c r="AB65" s="130" t="s">
        <v>645</v>
      </c>
      <c r="AC65" s="170">
        <f>AC64</f>
        <v>67.7</v>
      </c>
      <c r="AD65" s="174">
        <v>19</v>
      </c>
      <c r="AE65" s="174"/>
      <c r="AF65" s="21"/>
      <c r="AG65" s="19">
        <f t="shared" si="14"/>
        <v>0</v>
      </c>
      <c r="AH65" s="153">
        <f>AA65*AD65%/AC65%</f>
        <v>0</v>
      </c>
      <c r="AI65" s="19"/>
      <c r="AJ65" s="21"/>
      <c r="AK65" s="22">
        <f t="shared" si="12"/>
        <v>0</v>
      </c>
      <c r="AL65" s="30"/>
      <c r="AM65" s="20"/>
      <c r="AN65" s="20"/>
      <c r="AO65" s="20"/>
      <c r="AP65" s="20"/>
      <c r="AQ65" s="20"/>
      <c r="AR65" s="20"/>
      <c r="AS65" s="20"/>
      <c r="AT65" s="21">
        <f>AH65*AC65%+AA65*AD65%</f>
        <v>0</v>
      </c>
    </row>
    <row r="66" spans="1:46" ht="15" customHeight="1" x14ac:dyDescent="0.2">
      <c r="A66" s="19"/>
      <c r="B66" s="20"/>
      <c r="C66" s="20"/>
      <c r="D66" s="20"/>
      <c r="E66" s="24"/>
      <c r="F66" s="153"/>
      <c r="G66" s="172"/>
      <c r="H66" s="172"/>
      <c r="I66" s="172"/>
      <c r="J66" s="172"/>
      <c r="K66" s="172"/>
      <c r="L66" s="172"/>
      <c r="M66" s="172"/>
      <c r="N66" s="172"/>
      <c r="O66" s="172"/>
      <c r="P66" s="172"/>
      <c r="Q66" s="172"/>
      <c r="R66" s="172"/>
      <c r="S66" s="153"/>
      <c r="T66" s="174"/>
      <c r="U66" s="20"/>
      <c r="V66" s="20"/>
      <c r="W66" s="20"/>
      <c r="X66" s="20"/>
      <c r="Y66" s="20"/>
      <c r="Z66" s="20"/>
      <c r="AA66" s="4">
        <f t="shared" si="13"/>
        <v>0</v>
      </c>
      <c r="AB66" s="128" t="s">
        <v>644</v>
      </c>
      <c r="AC66" s="170"/>
      <c r="AD66" s="174">
        <v>36.4</v>
      </c>
      <c r="AE66" s="174"/>
      <c r="AF66" s="21"/>
      <c r="AG66" s="19"/>
      <c r="AH66" s="21"/>
      <c r="AI66" s="19"/>
      <c r="AJ66" s="21"/>
      <c r="AK66" s="22">
        <f t="shared" si="12"/>
        <v>0</v>
      </c>
      <c r="AL66" s="30"/>
      <c r="AM66" s="20"/>
      <c r="AN66" s="20"/>
      <c r="AO66" s="20"/>
      <c r="AP66" s="20"/>
      <c r="AQ66" s="20"/>
      <c r="AR66" s="20"/>
      <c r="AS66" s="20"/>
      <c r="AT66" s="21">
        <f>AA66*AD66%</f>
        <v>0</v>
      </c>
    </row>
    <row r="67" spans="1:46" ht="15" customHeight="1" x14ac:dyDescent="0.2">
      <c r="A67" s="19"/>
      <c r="B67" s="20"/>
      <c r="C67" s="20"/>
      <c r="D67" s="20"/>
      <c r="E67" s="24"/>
      <c r="F67" s="153">
        <f>AA67-S67</f>
        <v>20.690922830784736</v>
      </c>
      <c r="G67" s="172"/>
      <c r="H67" s="172"/>
      <c r="I67" s="172"/>
      <c r="J67" s="172"/>
      <c r="K67" s="172"/>
      <c r="L67" s="172"/>
      <c r="M67" s="172"/>
      <c r="N67" s="172"/>
      <c r="O67" s="172"/>
      <c r="P67" s="172"/>
      <c r="Q67" s="172"/>
      <c r="R67" s="172"/>
      <c r="S67" s="153">
        <f>AA67*0%</f>
        <v>0</v>
      </c>
      <c r="T67" s="174"/>
      <c r="U67" s="20"/>
      <c r="V67" s="20"/>
      <c r="W67" s="20"/>
      <c r="X67" s="20"/>
      <c r="Y67" s="20"/>
      <c r="Z67" s="20"/>
      <c r="AA67" s="153">
        <v>20.690922830784736</v>
      </c>
      <c r="AB67" s="131" t="s">
        <v>206</v>
      </c>
      <c r="AC67" s="170"/>
      <c r="AD67" s="174">
        <v>29.6</v>
      </c>
      <c r="AE67" s="174"/>
      <c r="AF67" s="21"/>
      <c r="AG67" s="19">
        <f>-AH67/$D$2%</f>
        <v>0</v>
      </c>
      <c r="AH67" s="21"/>
      <c r="AI67" s="19"/>
      <c r="AJ67" s="21"/>
      <c r="AK67" s="22">
        <f t="shared" si="12"/>
        <v>6.1245131579122827</v>
      </c>
      <c r="AL67" s="30"/>
      <c r="AM67" s="20"/>
      <c r="AN67" s="20"/>
      <c r="AO67" s="20"/>
      <c r="AP67" s="20"/>
      <c r="AQ67" s="20"/>
      <c r="AR67" s="20"/>
      <c r="AS67" s="20"/>
      <c r="AT67" s="21">
        <f>AA67*AD67%</f>
        <v>6.1245131579122827</v>
      </c>
    </row>
    <row r="68" spans="1:46" ht="15" customHeight="1" x14ac:dyDescent="0.2">
      <c r="A68" s="19"/>
      <c r="B68" s="20"/>
      <c r="C68" s="20"/>
      <c r="D68" s="20"/>
      <c r="E68" s="24"/>
      <c r="F68" s="153"/>
      <c r="G68" s="172"/>
      <c r="H68" s="172"/>
      <c r="I68" s="153">
        <v>0</v>
      </c>
      <c r="J68" s="172"/>
      <c r="K68" s="172"/>
      <c r="L68" s="172"/>
      <c r="M68" s="172"/>
      <c r="N68" s="172"/>
      <c r="O68" s="172"/>
      <c r="P68" s="172"/>
      <c r="Q68" s="172"/>
      <c r="R68" s="172"/>
      <c r="S68" s="153"/>
      <c r="T68" s="174"/>
      <c r="U68" s="20"/>
      <c r="V68" s="20"/>
      <c r="W68" s="20"/>
      <c r="X68" s="20"/>
      <c r="Y68" s="20"/>
      <c r="Z68" s="20"/>
      <c r="AA68" s="29">
        <f t="shared" ref="AA68:AA70" si="16">SUM(A68:Z68)</f>
        <v>0</v>
      </c>
      <c r="AB68" s="676" t="s">
        <v>640</v>
      </c>
      <c r="AC68" s="170"/>
      <c r="AD68" s="174">
        <v>26.1</v>
      </c>
      <c r="AE68" s="174"/>
      <c r="AF68" s="21"/>
      <c r="AG68" s="19"/>
      <c r="AH68" s="21"/>
      <c r="AI68" s="19"/>
      <c r="AJ68" s="21"/>
      <c r="AK68" s="22">
        <f t="shared" si="12"/>
        <v>0</v>
      </c>
      <c r="AL68" s="30"/>
      <c r="AM68" s="20"/>
      <c r="AN68" s="20"/>
      <c r="AO68" s="20"/>
      <c r="AP68" s="20"/>
      <c r="AQ68" s="20"/>
      <c r="AR68" s="20"/>
      <c r="AS68" s="20"/>
      <c r="AT68" s="21">
        <f>AA68*AD68%</f>
        <v>0</v>
      </c>
    </row>
    <row r="69" spans="1:46" ht="15" customHeight="1" x14ac:dyDescent="0.2">
      <c r="A69" s="19"/>
      <c r="B69" s="20"/>
      <c r="C69" s="20"/>
      <c r="D69" s="20"/>
      <c r="E69" s="24"/>
      <c r="F69" s="153"/>
      <c r="G69" s="172"/>
      <c r="H69" s="172"/>
      <c r="I69" s="172"/>
      <c r="J69" s="172"/>
      <c r="K69" s="172"/>
      <c r="L69" s="172"/>
      <c r="M69" s="172"/>
      <c r="N69" s="172"/>
      <c r="O69" s="172"/>
      <c r="P69" s="172"/>
      <c r="Q69" s="172"/>
      <c r="R69" s="172"/>
      <c r="S69" s="153"/>
      <c r="T69" s="174"/>
      <c r="U69" s="20"/>
      <c r="V69" s="20"/>
      <c r="W69" s="20"/>
      <c r="X69" s="20"/>
      <c r="Y69" s="20"/>
      <c r="Z69" s="20"/>
      <c r="AA69" s="29">
        <f t="shared" si="16"/>
        <v>0</v>
      </c>
      <c r="AB69" s="676" t="s">
        <v>641</v>
      </c>
      <c r="AC69" s="170"/>
      <c r="AD69" s="174">
        <v>36.4</v>
      </c>
      <c r="AE69" s="174"/>
      <c r="AF69" s="21"/>
      <c r="AG69" s="19"/>
      <c r="AH69" s="21"/>
      <c r="AI69" s="19"/>
      <c r="AJ69" s="21"/>
      <c r="AK69" s="22">
        <f t="shared" si="12"/>
        <v>0</v>
      </c>
      <c r="AL69" s="30"/>
      <c r="AM69" s="20"/>
      <c r="AN69" s="20"/>
      <c r="AO69" s="20"/>
      <c r="AP69" s="20"/>
      <c r="AQ69" s="20"/>
      <c r="AR69" s="20"/>
      <c r="AS69" s="20"/>
      <c r="AT69" s="21">
        <f t="shared" ref="AT69" si="17">AA69*AD69%</f>
        <v>0</v>
      </c>
    </row>
    <row r="70" spans="1:46" ht="15" customHeight="1" x14ac:dyDescent="0.2">
      <c r="A70" s="19"/>
      <c r="B70" s="20"/>
      <c r="C70" s="20"/>
      <c r="D70" s="20"/>
      <c r="E70" s="24"/>
      <c r="F70" s="153"/>
      <c r="G70" s="172"/>
      <c r="H70" s="172"/>
      <c r="I70" s="172"/>
      <c r="J70" s="172"/>
      <c r="K70" s="172"/>
      <c r="L70" s="172"/>
      <c r="M70" s="172"/>
      <c r="N70" s="172"/>
      <c r="O70" s="172"/>
      <c r="P70" s="172"/>
      <c r="Q70" s="172"/>
      <c r="R70" s="172"/>
      <c r="S70" s="153"/>
      <c r="T70" s="174"/>
      <c r="U70" s="20"/>
      <c r="V70" s="20"/>
      <c r="W70" s="20"/>
      <c r="X70" s="20"/>
      <c r="Y70" s="20"/>
      <c r="Z70" s="20"/>
      <c r="AA70" s="29">
        <f t="shared" si="16"/>
        <v>0</v>
      </c>
      <c r="AB70" s="131" t="s">
        <v>651</v>
      </c>
      <c r="AC70" s="170">
        <v>67.7</v>
      </c>
      <c r="AD70" s="174"/>
      <c r="AE70" s="174"/>
      <c r="AF70" s="21"/>
      <c r="AG70" s="19">
        <f t="shared" ref="AG70" si="18">-AH70/$D$2%</f>
        <v>0</v>
      </c>
      <c r="AH70" s="153"/>
      <c r="AI70" s="19"/>
      <c r="AJ70" s="21"/>
      <c r="AK70" s="22">
        <f t="shared" ref="AK70:AK79" si="19">SUM(AL70:AT70)</f>
        <v>0</v>
      </c>
      <c r="AL70" s="30"/>
      <c r="AM70" s="20"/>
      <c r="AN70" s="20"/>
      <c r="AO70" s="20"/>
      <c r="AP70" s="20"/>
      <c r="AQ70" s="20"/>
      <c r="AR70" s="20"/>
      <c r="AS70" s="20"/>
      <c r="AT70" s="21">
        <f>AH70*AC70%</f>
        <v>0</v>
      </c>
    </row>
    <row r="71" spans="1:46" ht="15" customHeight="1" x14ac:dyDescent="0.2">
      <c r="A71" s="19"/>
      <c r="B71" s="20"/>
      <c r="C71" s="20"/>
      <c r="D71" s="20"/>
      <c r="E71" s="24"/>
      <c r="F71" s="153">
        <f>AA71-S71</f>
        <v>638.41287508576045</v>
      </c>
      <c r="G71" s="172"/>
      <c r="H71" s="172"/>
      <c r="I71" s="172"/>
      <c r="J71" s="172"/>
      <c r="K71" s="172"/>
      <c r="L71" s="172"/>
      <c r="M71" s="172"/>
      <c r="N71" s="172"/>
      <c r="O71" s="172"/>
      <c r="P71" s="172"/>
      <c r="Q71" s="172"/>
      <c r="R71" s="172"/>
      <c r="S71" s="153">
        <f>AA71*0%</f>
        <v>0</v>
      </c>
      <c r="T71" s="174"/>
      <c r="U71" s="20"/>
      <c r="V71" s="20"/>
      <c r="W71" s="20"/>
      <c r="X71" s="20"/>
      <c r="Y71" s="20"/>
      <c r="Z71" s="20"/>
      <c r="AA71" s="697">
        <v>638.41287508576045</v>
      </c>
      <c r="AB71" s="131" t="s">
        <v>207</v>
      </c>
      <c r="AC71" s="170"/>
      <c r="AD71" s="174">
        <v>36.5</v>
      </c>
      <c r="AE71" s="174"/>
      <c r="AF71" s="21"/>
      <c r="AG71" s="19"/>
      <c r="AH71" s="169"/>
      <c r="AI71" s="19"/>
      <c r="AJ71" s="21"/>
      <c r="AK71" s="22">
        <f t="shared" si="19"/>
        <v>233.02069940630255</v>
      </c>
      <c r="AL71" s="30"/>
      <c r="AM71" s="20"/>
      <c r="AN71" s="20"/>
      <c r="AO71" s="20"/>
      <c r="AP71" s="20"/>
      <c r="AQ71" s="20"/>
      <c r="AR71" s="20"/>
      <c r="AS71" s="20"/>
      <c r="AT71" s="21">
        <f>AA71*AD71%</f>
        <v>233.02069940630255</v>
      </c>
    </row>
    <row r="72" spans="1:46" ht="15" customHeight="1" x14ac:dyDescent="0.2">
      <c r="A72" s="19"/>
      <c r="B72" s="20"/>
      <c r="C72" s="20"/>
      <c r="D72" s="20"/>
      <c r="E72" s="24"/>
      <c r="F72" s="153"/>
      <c r="G72" s="172"/>
      <c r="H72" s="172"/>
      <c r="I72" s="2">
        <v>0</v>
      </c>
      <c r="J72" s="172"/>
      <c r="K72" s="172"/>
      <c r="L72" s="172"/>
      <c r="M72" s="172"/>
      <c r="N72" s="172"/>
      <c r="O72" s="172"/>
      <c r="P72" s="172"/>
      <c r="Q72" s="172"/>
      <c r="R72" s="172"/>
      <c r="S72" s="153"/>
      <c r="T72" s="174"/>
      <c r="U72" s="20"/>
      <c r="V72" s="20"/>
      <c r="W72" s="20"/>
      <c r="X72" s="20"/>
      <c r="Y72" s="20"/>
      <c r="Z72" s="20"/>
      <c r="AA72" s="29">
        <f t="shared" ref="AA72:AA74" si="20">SUM(A72:Z72)</f>
        <v>0</v>
      </c>
      <c r="AB72" s="676" t="s">
        <v>642</v>
      </c>
      <c r="AC72" s="170"/>
      <c r="AD72" s="174">
        <v>32.200000000000003</v>
      </c>
      <c r="AE72" s="174"/>
      <c r="AF72" s="21"/>
      <c r="AG72" s="19"/>
      <c r="AH72" s="169"/>
      <c r="AI72" s="19"/>
      <c r="AJ72" s="21"/>
      <c r="AK72" s="22">
        <f t="shared" si="19"/>
        <v>0</v>
      </c>
      <c r="AL72" s="30"/>
      <c r="AM72" s="20"/>
      <c r="AN72" s="20"/>
      <c r="AO72" s="20"/>
      <c r="AP72" s="20"/>
      <c r="AQ72" s="20"/>
      <c r="AR72" s="20"/>
      <c r="AS72" s="20"/>
      <c r="AT72" s="21">
        <f>AA72*AD72%</f>
        <v>0</v>
      </c>
    </row>
    <row r="73" spans="1:46" ht="15" customHeight="1" x14ac:dyDescent="0.2">
      <c r="A73" s="19"/>
      <c r="B73" s="20"/>
      <c r="C73" s="20"/>
      <c r="D73" s="20"/>
      <c r="E73" s="24"/>
      <c r="F73" s="153"/>
      <c r="G73" s="172"/>
      <c r="H73" s="172"/>
      <c r="I73" s="172"/>
      <c r="J73" s="172"/>
      <c r="K73" s="172"/>
      <c r="L73" s="172"/>
      <c r="M73" s="172"/>
      <c r="N73" s="172"/>
      <c r="O73" s="172"/>
      <c r="P73" s="172"/>
      <c r="Q73" s="172"/>
      <c r="R73" s="172"/>
      <c r="S73" s="153"/>
      <c r="T73" s="174"/>
      <c r="U73" s="20"/>
      <c r="V73" s="20"/>
      <c r="W73" s="20"/>
      <c r="X73" s="20"/>
      <c r="Y73" s="20"/>
      <c r="Z73" s="20"/>
      <c r="AA73" s="29">
        <f t="shared" si="20"/>
        <v>0</v>
      </c>
      <c r="AB73" s="676" t="s">
        <v>643</v>
      </c>
      <c r="AC73" s="170"/>
      <c r="AD73" s="174">
        <v>36.4</v>
      </c>
      <c r="AE73" s="174"/>
      <c r="AF73" s="21"/>
      <c r="AG73" s="19"/>
      <c r="AH73" s="169"/>
      <c r="AI73" s="19"/>
      <c r="AJ73" s="21"/>
      <c r="AK73" s="22">
        <f t="shared" si="19"/>
        <v>0</v>
      </c>
      <c r="AL73" s="30"/>
      <c r="AM73" s="20"/>
      <c r="AN73" s="20"/>
      <c r="AO73" s="20"/>
      <c r="AP73" s="20"/>
      <c r="AQ73" s="20"/>
      <c r="AR73" s="20"/>
      <c r="AS73" s="20"/>
      <c r="AT73" s="21">
        <f t="shared" ref="AT73" si="21">AA73*AD73%</f>
        <v>0</v>
      </c>
    </row>
    <row r="74" spans="1:46" ht="15" customHeight="1" x14ac:dyDescent="0.2">
      <c r="A74" s="19"/>
      <c r="B74" s="20"/>
      <c r="C74" s="20"/>
      <c r="D74" s="20"/>
      <c r="E74" s="24"/>
      <c r="F74" s="153"/>
      <c r="G74" s="172"/>
      <c r="H74" s="172"/>
      <c r="I74" s="172"/>
      <c r="J74" s="172"/>
      <c r="K74" s="172"/>
      <c r="L74" s="172"/>
      <c r="M74" s="172"/>
      <c r="N74" s="172"/>
      <c r="O74" s="172"/>
      <c r="P74" s="172"/>
      <c r="Q74" s="172"/>
      <c r="R74" s="172"/>
      <c r="S74" s="153"/>
      <c r="T74" s="174"/>
      <c r="U74" s="20"/>
      <c r="V74" s="20"/>
      <c r="W74" s="20"/>
      <c r="X74" s="20"/>
      <c r="Y74" s="20"/>
      <c r="Z74" s="20"/>
      <c r="AA74" s="29">
        <f t="shared" si="20"/>
        <v>0</v>
      </c>
      <c r="AB74" s="131" t="s">
        <v>652</v>
      </c>
      <c r="AC74" s="170">
        <f>AC70</f>
        <v>67.7</v>
      </c>
      <c r="AD74" s="174"/>
      <c r="AE74" s="174"/>
      <c r="AF74" s="21"/>
      <c r="AG74" s="19">
        <f t="shared" ref="AG74" si="22">-AH74/$D$2%</f>
        <v>0</v>
      </c>
      <c r="AH74" s="153"/>
      <c r="AI74" s="19"/>
      <c r="AJ74" s="21"/>
      <c r="AK74" s="22">
        <f t="shared" si="19"/>
        <v>0</v>
      </c>
      <c r="AL74" s="30"/>
      <c r="AM74" s="20"/>
      <c r="AN74" s="20"/>
      <c r="AO74" s="20"/>
      <c r="AP74" s="20"/>
      <c r="AQ74" s="20"/>
      <c r="AR74" s="20"/>
      <c r="AS74" s="20"/>
      <c r="AT74" s="21">
        <f>AH74*AC74%</f>
        <v>0</v>
      </c>
    </row>
    <row r="75" spans="1:46" ht="15" customHeight="1" x14ac:dyDescent="0.2">
      <c r="A75" s="19"/>
      <c r="B75" s="20"/>
      <c r="C75" s="20"/>
      <c r="D75" s="20"/>
      <c r="E75" s="20"/>
      <c r="F75" s="153">
        <v>232.29935801127732</v>
      </c>
      <c r="G75" s="2"/>
      <c r="H75" s="2"/>
      <c r="I75" s="2"/>
      <c r="J75" s="2"/>
      <c r="K75" s="2"/>
      <c r="L75" s="2"/>
      <c r="M75" s="2"/>
      <c r="N75" s="2"/>
      <c r="O75" s="2"/>
      <c r="P75" s="2"/>
      <c r="Q75" s="2"/>
      <c r="R75" s="2"/>
      <c r="S75" s="153"/>
      <c r="T75" s="20"/>
      <c r="U75" s="20"/>
      <c r="V75" s="20"/>
      <c r="W75" s="20"/>
      <c r="X75" s="20"/>
      <c r="Y75" s="20"/>
      <c r="Z75" s="20"/>
      <c r="AA75" s="29">
        <f t="shared" si="0"/>
        <v>232.29935801127732</v>
      </c>
      <c r="AB75" s="131" t="s">
        <v>208</v>
      </c>
      <c r="AC75" s="170"/>
      <c r="AD75" s="174">
        <v>36.5</v>
      </c>
      <c r="AE75" s="174"/>
      <c r="AF75" s="21"/>
      <c r="AG75" s="19"/>
      <c r="AH75" s="21"/>
      <c r="AI75" s="19"/>
      <c r="AJ75" s="21"/>
      <c r="AK75" s="22">
        <f t="shared" si="19"/>
        <v>84.789265674116223</v>
      </c>
      <c r="AL75" s="30"/>
      <c r="AM75" s="20"/>
      <c r="AN75" s="20"/>
      <c r="AO75" s="20"/>
      <c r="AP75" s="20"/>
      <c r="AQ75" s="20"/>
      <c r="AR75" s="20"/>
      <c r="AS75" s="20">
        <f>AA75*AD75%</f>
        <v>84.789265674116223</v>
      </c>
      <c r="AT75" s="21"/>
    </row>
    <row r="76" spans="1:46" ht="15" customHeight="1" x14ac:dyDescent="0.2">
      <c r="A76" s="19"/>
      <c r="B76" s="20"/>
      <c r="C76" s="20"/>
      <c r="D76" s="20"/>
      <c r="E76" s="20"/>
      <c r="F76" s="153">
        <f>AA76-S76</f>
        <v>0</v>
      </c>
      <c r="G76" s="2"/>
      <c r="H76" s="2"/>
      <c r="I76" s="2"/>
      <c r="J76" s="2"/>
      <c r="K76" s="2"/>
      <c r="L76" s="2"/>
      <c r="M76" s="2"/>
      <c r="N76" s="2"/>
      <c r="O76" s="2"/>
      <c r="P76" s="2"/>
      <c r="Q76" s="2"/>
      <c r="R76" s="2"/>
      <c r="S76" s="153">
        <f>AA76*0%</f>
        <v>0</v>
      </c>
      <c r="T76" s="20"/>
      <c r="U76" s="20"/>
      <c r="V76" s="20"/>
      <c r="W76" s="20"/>
      <c r="X76" s="20"/>
      <c r="Y76" s="20"/>
      <c r="Z76" s="20"/>
      <c r="AA76" s="25"/>
      <c r="AB76" s="676" t="s">
        <v>671</v>
      </c>
      <c r="AC76" s="170"/>
      <c r="AD76" s="174">
        <v>12</v>
      </c>
      <c r="AE76" s="174"/>
      <c r="AF76" s="21"/>
      <c r="AG76" s="19"/>
      <c r="AH76" s="21"/>
      <c r="AI76" s="19"/>
      <c r="AJ76" s="21"/>
      <c r="AK76" s="22">
        <f t="shared" si="19"/>
        <v>0</v>
      </c>
      <c r="AL76" s="30"/>
      <c r="AM76" s="20"/>
      <c r="AN76" s="20"/>
      <c r="AO76" s="20"/>
      <c r="AP76" s="20"/>
      <c r="AQ76" s="20"/>
      <c r="AR76" s="20"/>
      <c r="AS76" s="20"/>
      <c r="AT76" s="21">
        <f>AA76*AD76%</f>
        <v>0</v>
      </c>
    </row>
    <row r="77" spans="1:46" ht="15" customHeight="1" x14ac:dyDescent="0.2">
      <c r="A77" s="19"/>
      <c r="B77" s="20"/>
      <c r="C77" s="20"/>
      <c r="D77" s="20"/>
      <c r="E77" s="20"/>
      <c r="F77" s="153">
        <f>AA77-S77</f>
        <v>27.3</v>
      </c>
      <c r="G77" s="172"/>
      <c r="H77" s="172"/>
      <c r="I77" s="172"/>
      <c r="J77" s="2"/>
      <c r="K77" s="2"/>
      <c r="L77" s="2"/>
      <c r="M77" s="172"/>
      <c r="N77" s="172"/>
      <c r="O77" s="172"/>
      <c r="P77" s="172"/>
      <c r="Q77" s="172"/>
      <c r="R77" s="172"/>
      <c r="S77" s="153">
        <f>AA77*0%</f>
        <v>0</v>
      </c>
      <c r="T77" s="20"/>
      <c r="U77" s="20"/>
      <c r="V77" s="20"/>
      <c r="W77" s="20"/>
      <c r="X77" s="20"/>
      <c r="Y77" s="20"/>
      <c r="Z77" s="20"/>
      <c r="AA77" s="25">
        <v>27.3</v>
      </c>
      <c r="AB77" s="676" t="s">
        <v>672</v>
      </c>
      <c r="AC77" s="170"/>
      <c r="AD77" s="174">
        <v>25</v>
      </c>
      <c r="AE77" s="174"/>
      <c r="AF77" s="21"/>
      <c r="AG77" s="19"/>
      <c r="AH77" s="21"/>
      <c r="AI77" s="19"/>
      <c r="AJ77" s="21"/>
      <c r="AK77" s="22">
        <f t="shared" si="19"/>
        <v>6.8250000000000002</v>
      </c>
      <c r="AL77" s="30"/>
      <c r="AM77" s="20"/>
      <c r="AN77" s="20"/>
      <c r="AO77" s="20"/>
      <c r="AP77" s="20"/>
      <c r="AQ77" s="20"/>
      <c r="AR77" s="20"/>
      <c r="AS77" s="20"/>
      <c r="AT77" s="21">
        <f>AA77*AD77%</f>
        <v>6.8250000000000002</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f>SUM(A78:Z78)</f>
        <v>0</v>
      </c>
      <c r="AB78" s="676" t="s">
        <v>673</v>
      </c>
      <c r="AC78" s="687">
        <v>67</v>
      </c>
      <c r="AD78" s="174"/>
      <c r="AE78" s="184"/>
      <c r="AF78" s="41"/>
      <c r="AG78" s="19">
        <f t="shared" ref="AG78" si="23">-AH78/$D$2%</f>
        <v>0</v>
      </c>
      <c r="AH78" s="701">
        <v>0</v>
      </c>
      <c r="AI78" s="38"/>
      <c r="AJ78" s="41"/>
      <c r="AK78" s="22">
        <f t="shared" si="19"/>
        <v>0</v>
      </c>
      <c r="AL78" s="42"/>
      <c r="AM78" s="39"/>
      <c r="AN78" s="39"/>
      <c r="AO78" s="39"/>
      <c r="AP78" s="39"/>
      <c r="AQ78" s="39"/>
      <c r="AR78" s="39"/>
      <c r="AS78" s="39"/>
      <c r="AT78" s="21">
        <f>AC78*AH78%</f>
        <v>0</v>
      </c>
    </row>
    <row r="79" spans="1:46" ht="15" customHeight="1" x14ac:dyDescent="0.2">
      <c r="A79" s="38"/>
      <c r="B79" s="39"/>
      <c r="C79" s="39"/>
      <c r="D79" s="184"/>
      <c r="E79" s="184"/>
      <c r="F79" s="184"/>
      <c r="G79" s="154">
        <v>360.5</v>
      </c>
      <c r="H79" s="153">
        <v>0.9</v>
      </c>
      <c r="I79" s="184"/>
      <c r="J79" s="40"/>
      <c r="K79" s="40"/>
      <c r="L79" s="40"/>
      <c r="M79" s="184"/>
      <c r="N79" s="39"/>
      <c r="O79" s="39"/>
      <c r="P79" s="39"/>
      <c r="Q79" s="39"/>
      <c r="R79" s="39"/>
      <c r="S79" s="39"/>
      <c r="T79" s="39"/>
      <c r="U79" s="39"/>
      <c r="V79" s="39"/>
      <c r="W79" s="39"/>
      <c r="X79" s="39"/>
      <c r="Y79" s="39"/>
      <c r="Z79" s="39"/>
      <c r="AA79" s="21">
        <f>SUM(A79:Z79)</f>
        <v>361.4</v>
      </c>
      <c r="AB79" s="131" t="s">
        <v>9</v>
      </c>
      <c r="AC79" s="687"/>
      <c r="AD79" s="174">
        <v>13.5</v>
      </c>
      <c r="AE79" s="184"/>
      <c r="AF79" s="41"/>
      <c r="AG79" s="38"/>
      <c r="AH79" s="41"/>
      <c r="AI79" s="38"/>
      <c r="AJ79" s="41"/>
      <c r="AK79" s="22">
        <f t="shared" si="19"/>
        <v>48.789000000000001</v>
      </c>
      <c r="AL79" s="42"/>
      <c r="AM79" s="39"/>
      <c r="AN79" s="39"/>
      <c r="AO79" s="39"/>
      <c r="AP79" s="39"/>
      <c r="AQ79" s="39"/>
      <c r="AR79" s="39"/>
      <c r="AS79" s="39"/>
      <c r="AT79" s="21">
        <f>AD79*AA79%</f>
        <v>48.789000000000001</v>
      </c>
    </row>
    <row r="80" spans="1:46" ht="15" customHeight="1" thickBot="1" x14ac:dyDescent="0.25">
      <c r="A80" s="38"/>
      <c r="B80" s="39"/>
      <c r="C80" s="39"/>
      <c r="D80" s="154">
        <v>9.6999999999999993</v>
      </c>
      <c r="E80" s="184"/>
      <c r="F80" s="154">
        <v>46</v>
      </c>
      <c r="G80" s="184"/>
      <c r="H80" s="184"/>
      <c r="I80" s="184"/>
      <c r="J80" s="40"/>
      <c r="K80" s="40"/>
      <c r="L80" s="40"/>
      <c r="M80" s="184"/>
      <c r="N80" s="39"/>
      <c r="O80" s="39"/>
      <c r="P80" s="39"/>
      <c r="Q80" s="39"/>
      <c r="R80" s="39"/>
      <c r="S80" s="39"/>
      <c r="T80" s="39"/>
      <c r="U80" s="39"/>
      <c r="V80" s="39"/>
      <c r="W80" s="39"/>
      <c r="X80" s="39"/>
      <c r="Y80" s="39"/>
      <c r="Z80" s="39"/>
      <c r="AA80" s="41">
        <f t="shared" si="0"/>
        <v>55.7</v>
      </c>
      <c r="AB80" s="132" t="s">
        <v>5</v>
      </c>
      <c r="AC80" s="688"/>
      <c r="AD80" s="174">
        <v>20</v>
      </c>
      <c r="AE80" s="689"/>
      <c r="AF80" s="45"/>
      <c r="AG80" s="43"/>
      <c r="AH80" s="45"/>
      <c r="AI80" s="43"/>
      <c r="AJ80" s="45"/>
      <c r="AK80" s="46">
        <f t="shared" si="12"/>
        <v>11.14</v>
      </c>
      <c r="AL80" s="47"/>
      <c r="AM80" s="44"/>
      <c r="AN80" s="44"/>
      <c r="AO80" s="44"/>
      <c r="AP80" s="44"/>
      <c r="AQ80" s="44"/>
      <c r="AR80" s="44"/>
      <c r="AS80" s="44"/>
      <c r="AT80" s="21">
        <f>AA80*AD80%</f>
        <v>11.14</v>
      </c>
    </row>
    <row r="81" spans="1:47" ht="15" customHeight="1" thickBot="1" x14ac:dyDescent="0.25">
      <c r="A81" s="48">
        <f t="shared" ref="A81:AA81" si="24">SUM(A8:A80)</f>
        <v>35.311778887828353</v>
      </c>
      <c r="B81" s="49">
        <f t="shared" si="24"/>
        <v>27.1</v>
      </c>
      <c r="C81" s="49">
        <f t="shared" si="24"/>
        <v>0</v>
      </c>
      <c r="D81" s="49">
        <f t="shared" si="24"/>
        <v>9.6999999999999993</v>
      </c>
      <c r="E81" s="49">
        <f t="shared" si="24"/>
        <v>751.1</v>
      </c>
      <c r="F81" s="49">
        <f t="shared" si="24"/>
        <v>1512.0764872740879</v>
      </c>
      <c r="G81" s="49">
        <f t="shared" si="24"/>
        <v>360.5</v>
      </c>
      <c r="H81" s="49">
        <f t="shared" si="24"/>
        <v>695.07025183689666</v>
      </c>
      <c r="I81" s="49">
        <f t="shared" si="24"/>
        <v>1473.2781196000001</v>
      </c>
      <c r="J81" s="49">
        <f t="shared" si="24"/>
        <v>0</v>
      </c>
      <c r="K81" s="49">
        <f t="shared" si="24"/>
        <v>0</v>
      </c>
      <c r="L81" s="49">
        <f t="shared" si="24"/>
        <v>0</v>
      </c>
      <c r="M81" s="49">
        <f t="shared" si="24"/>
        <v>707.28</v>
      </c>
      <c r="N81" s="49">
        <f t="shared" si="24"/>
        <v>0</v>
      </c>
      <c r="O81" s="49">
        <f t="shared" si="24"/>
        <v>5.9</v>
      </c>
      <c r="P81" s="49">
        <f t="shared" si="24"/>
        <v>0</v>
      </c>
      <c r="Q81" s="49">
        <f t="shared" si="24"/>
        <v>0.12850370921183907</v>
      </c>
      <c r="R81" s="49">
        <f t="shared" si="24"/>
        <v>18.9422</v>
      </c>
      <c r="S81" s="49">
        <f t="shared" si="24"/>
        <v>2.0887770867710032</v>
      </c>
      <c r="T81" s="49">
        <f t="shared" si="24"/>
        <v>164</v>
      </c>
      <c r="U81" s="49">
        <f t="shared" si="24"/>
        <v>804.5</v>
      </c>
      <c r="V81" s="49">
        <f t="shared" si="24"/>
        <v>658.80000000000007</v>
      </c>
      <c r="W81" s="49">
        <f t="shared" si="24"/>
        <v>20.8278</v>
      </c>
      <c r="X81" s="49">
        <f t="shared" si="24"/>
        <v>0</v>
      </c>
      <c r="Y81" s="49">
        <f t="shared" si="24"/>
        <v>3.3</v>
      </c>
      <c r="Z81" s="49">
        <f t="shared" si="24"/>
        <v>0</v>
      </c>
      <c r="AA81" s="50">
        <f t="shared" si="24"/>
        <v>7249.9039183947962</v>
      </c>
      <c r="AB81" s="51" t="s">
        <v>1</v>
      </c>
      <c r="AC81" s="52"/>
      <c r="AD81" s="52"/>
      <c r="AE81" s="52"/>
      <c r="AF81" s="52"/>
      <c r="AG81" s="48">
        <f t="shared" ref="AG81:AT81" si="25">SUM(AG8:AG80)</f>
        <v>5.3734794391857577E-14</v>
      </c>
      <c r="AH81" s="50">
        <f t="shared" si="25"/>
        <v>860.14822594901682</v>
      </c>
      <c r="AI81" s="48">
        <f t="shared" si="25"/>
        <v>0</v>
      </c>
      <c r="AJ81" s="50">
        <f t="shared" si="25"/>
        <v>608.97609</v>
      </c>
      <c r="AK81" s="51">
        <f t="shared" si="25"/>
        <v>4117.4355133444833</v>
      </c>
      <c r="AL81" s="53">
        <f t="shared" si="25"/>
        <v>2041.678796475913</v>
      </c>
      <c r="AM81" s="49">
        <f t="shared" si="25"/>
        <v>129.27725691120003</v>
      </c>
      <c r="AN81" s="49">
        <f t="shared" si="25"/>
        <v>115.87672095479999</v>
      </c>
      <c r="AO81" s="49">
        <f t="shared" si="25"/>
        <v>116.43714147960002</v>
      </c>
      <c r="AP81" s="49">
        <f t="shared" si="25"/>
        <v>8.5887689183999996</v>
      </c>
      <c r="AQ81" s="49">
        <f t="shared" si="25"/>
        <v>925.52235958560004</v>
      </c>
      <c r="AR81" s="49">
        <f t="shared" si="25"/>
        <v>15.867642481200001</v>
      </c>
      <c r="AS81" s="49">
        <f t="shared" si="25"/>
        <v>190.68331576091623</v>
      </c>
      <c r="AT81" s="50">
        <f t="shared" si="25"/>
        <v>573.50351077685423</v>
      </c>
    </row>
    <row r="82" spans="1:47" ht="15" customHeight="1" x14ac:dyDescent="0.25">
      <c r="A82" s="26">
        <f t="shared" ref="A82:Y82" si="26">A81*A89/1000</f>
        <v>7.8176747279763186</v>
      </c>
      <c r="B82" s="28">
        <f t="shared" si="26"/>
        <v>1.7560799999999999</v>
      </c>
      <c r="C82" s="28">
        <f t="shared" si="26"/>
        <v>0</v>
      </c>
      <c r="D82" s="28">
        <f t="shared" si="26"/>
        <v>0.76659100000000002</v>
      </c>
      <c r="E82" s="28">
        <f t="shared" si="26"/>
        <v>55.656509999999997</v>
      </c>
      <c r="F82" s="28">
        <f t="shared" si="26"/>
        <v>112.04486770700991</v>
      </c>
      <c r="G82" s="28">
        <f t="shared" si="26"/>
        <v>25.956</v>
      </c>
      <c r="H82" s="28">
        <f t="shared" si="26"/>
        <v>50.740128384093452</v>
      </c>
      <c r="I82" s="28">
        <f t="shared" si="26"/>
        <v>83.652731630888013</v>
      </c>
      <c r="J82" s="27"/>
      <c r="K82" s="27"/>
      <c r="L82" s="27"/>
      <c r="M82" s="28">
        <f t="shared" si="26"/>
        <v>0</v>
      </c>
      <c r="N82" s="28">
        <f t="shared" si="26"/>
        <v>0</v>
      </c>
      <c r="O82" s="28">
        <f t="shared" si="26"/>
        <v>0</v>
      </c>
      <c r="P82" s="28">
        <f t="shared" si="26"/>
        <v>0</v>
      </c>
      <c r="Q82" s="28">
        <v>0</v>
      </c>
      <c r="R82" s="28">
        <f t="shared" si="26"/>
        <v>0</v>
      </c>
      <c r="S82" s="28">
        <f t="shared" si="26"/>
        <v>0</v>
      </c>
      <c r="T82" s="28">
        <f t="shared" si="26"/>
        <v>0</v>
      </c>
      <c r="U82" s="28">
        <f t="shared" si="26"/>
        <v>0</v>
      </c>
      <c r="V82" s="28">
        <f t="shared" si="26"/>
        <v>0</v>
      </c>
      <c r="W82" s="28">
        <f t="shared" si="26"/>
        <v>0</v>
      </c>
      <c r="X82" s="28">
        <f t="shared" si="26"/>
        <v>0</v>
      </c>
      <c r="Y82" s="28">
        <f t="shared" si="26"/>
        <v>0</v>
      </c>
      <c r="Z82" s="28">
        <f>Z81*Z89/1000</f>
        <v>0</v>
      </c>
      <c r="AA82" s="29">
        <f>SUM(A82:Z82)</f>
        <v>338.39058344996772</v>
      </c>
      <c r="AB82" s="54" t="s">
        <v>30</v>
      </c>
      <c r="AC82" s="55">
        <f>AA82*1000/D1</f>
        <v>6.9996397370918366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486.23102905335583</v>
      </c>
      <c r="S83" s="153">
        <v>772</v>
      </c>
      <c r="T83" s="153">
        <v>515.99761191656501</v>
      </c>
      <c r="U83" s="153">
        <v>364.37178342551363</v>
      </c>
      <c r="V83" s="20"/>
      <c r="W83" s="20"/>
      <c r="X83" s="20"/>
      <c r="Y83" s="20"/>
      <c r="Z83" s="20"/>
      <c r="AA83" s="21">
        <f>SUM(A83:Z83)</f>
        <v>2138.6004243954344</v>
      </c>
      <c r="AB83" s="22" t="s">
        <v>653</v>
      </c>
      <c r="AC83" s="677">
        <f>(SUM(M11:Y11)+AG12*A87%+SUM(M16:Y16)+SUM(M17:Y17)+SUM(M18:Y18)+SUM(M19:Y19)+SUM(M22:Y22)+SUM(M61:Y61)+SUM(M62:Y62)+SUM(M63:Y63)+SUM(M65:Y65)+SUM(M66:Y66)+SUM(M67:Y67)+SUM(M68:Y68)+SUM(M69:Y69)+SUM(M71:Y71)+SUM(M72:Y72)+SUM(M73:Y73)+SUM(M75:Y75)+SUM(M76:Y76)+SUM(M77:Y77)+SUM(M79:Y79)+SUM(M80:Y80)+SUM(M23:Y23)*(AC23%+AE23%)+SUM(M24:Y24)*(AC24%+AE24%)+SUM(M25:Y25)*(AC25%+AE25%)+SUM(M26:Y26)*(AC26%+AE26%)+SUM(M28:Y28)*(AC28%+AD28%+AE28%)+SUM(M27:Y27)*(AD27%)+SUM(M29:Y29)*(AC29%+AE29%)+SUM(M30:Y30)*(AC30%+AE30%)+SUM(M31:Y31)*(AC31%+AE31%)+SUM(M34:Y34)*(AC34%+AE34%)+SUM(M35:Y35)*(AC35%+AE35%)+SUM(M37:Y37)*(AC37%+AE37%)+SUM(M38:Y38)*(AC38%+AE38%)+SUM(M39:Y39)*(AC39%+AE39%)+SUM(M41:Y41)*(AC41%+AE41%)+SUM(M42:Y42)*(AC42%+AE42%)+SUM(M44:Y44)*(AC44%+AE44%)+SUM(M45:Y45)*(AC45%+AE45%)+SUM(M46:Y46)*(AC47%+AE47%)+SUM(M48:Y48)*(AC48%+AE48%)+SUM(M49:Y49)*(AC49%+AE49%)+SUM(M50:Y50)*(AC50%+AE50%)+SUM(M52:Y52)*(AC52%+AE52%)+SUM(M53:Y53)*(AC53%+AE53%)+SUM(M54:Y54)*(AC54%+AE54%))/(SUM(AA8:AA11)+SUM(AA13:AA22)+SUM(AA61:AA80)+(AJ33/AF33%+AJ36/AF36%+AJ43/AF43%+AJ51/AF51%+AJ60/AF60%)+AH81+SUM(AH8:AH11)*(1-D2%)+(-AI56))*100</f>
        <v>32.319807285964622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tr">
        <f>IF(M83&gt;0,M81/M83*100,"")</f>
        <v/>
      </c>
      <c r="N84" s="44" t="str">
        <f t="shared" ref="N84:Z84" si="27">IF(N83&gt;0,N81/N83*100,"")</f>
        <v/>
      </c>
      <c r="O84" s="44" t="str">
        <f t="shared" si="27"/>
        <v/>
      </c>
      <c r="P84" s="44" t="str">
        <f t="shared" si="27"/>
        <v/>
      </c>
      <c r="Q84" s="44" t="str">
        <f t="shared" si="27"/>
        <v/>
      </c>
      <c r="R84" s="44">
        <f t="shared" si="27"/>
        <v>3.8957201141355799</v>
      </c>
      <c r="S84" s="44">
        <f t="shared" si="27"/>
        <v>0.27056698015168434</v>
      </c>
      <c r="T84" s="44">
        <f t="shared" si="27"/>
        <v>31.783092830770354</v>
      </c>
      <c r="U84" s="44">
        <f t="shared" si="27"/>
        <v>220.79097136358232</v>
      </c>
      <c r="V84" s="44" t="str">
        <f t="shared" si="27"/>
        <v/>
      </c>
      <c r="W84" s="44" t="str">
        <f t="shared" si="27"/>
        <v/>
      </c>
      <c r="X84" s="44" t="str">
        <f t="shared" si="27"/>
        <v/>
      </c>
      <c r="Y84" s="44" t="str">
        <f>IF(Y83&gt;0,Y81/Y83*100,"")</f>
        <v/>
      </c>
      <c r="Z84" s="44" t="str">
        <f t="shared" si="27"/>
        <v/>
      </c>
      <c r="AA84" s="45">
        <f>SUMIF(M83:Z83,"&gt;0",M81:Z81)/SUM(M83:Z83)%</f>
        <v>46.270026218969996</v>
      </c>
      <c r="AB84" s="46" t="s">
        <v>12</v>
      </c>
      <c r="AC84" s="151">
        <f>SUM(M81:Y81)/AA81*100</f>
        <v>32.907571019564855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tr">
        <f t="shared" ref="B86:I86" si="28">B7</f>
        <v xml:space="preserve">  LPG og petroleum</v>
      </c>
      <c r="C86" s="754" t="str">
        <f t="shared" si="28"/>
        <v xml:space="preserve">  Kul</v>
      </c>
      <c r="D86" s="754" t="str">
        <f t="shared" si="28"/>
        <v xml:space="preserve">  Fuelolie</v>
      </c>
      <c r="E86" s="754" t="str">
        <f t="shared" si="28"/>
        <v xml:space="preserve">  Brændselsolie</v>
      </c>
      <c r="F86" s="754" t="str">
        <f t="shared" si="28"/>
        <v xml:space="preserve">  Dieselolie</v>
      </c>
      <c r="G86" s="754" t="str">
        <f t="shared" si="28"/>
        <v xml:space="preserve">  JP1</v>
      </c>
      <c r="H86" s="754" t="str">
        <f t="shared" si="28"/>
        <v xml:space="preserve">  Benzin</v>
      </c>
      <c r="I86" s="754" t="str">
        <f t="shared" si="28"/>
        <v xml:space="preserve">  Naturgas</v>
      </c>
      <c r="J86" s="673"/>
      <c r="K86" s="673"/>
      <c r="L86" s="673"/>
      <c r="M86" s="754" t="str">
        <f t="shared" ref="M86:Z86" si="29">M7</f>
        <v xml:space="preserve">  Vindenergi</v>
      </c>
      <c r="N86" s="754" t="str">
        <f t="shared" si="29"/>
        <v xml:space="preserve">  Vandenergi</v>
      </c>
      <c r="O86" s="754" t="str">
        <f t="shared" si="29"/>
        <v xml:space="preserve">  Solenergi</v>
      </c>
      <c r="P86" s="754" t="str">
        <f t="shared" si="29"/>
        <v xml:space="preserve">  Geotermi</v>
      </c>
      <c r="Q86" s="754" t="str">
        <f t="shared" si="29"/>
        <v xml:space="preserve">  Varmekilder til varmepumper</v>
      </c>
      <c r="R86" s="754" t="str">
        <f t="shared" si="29"/>
        <v xml:space="preserve">  Husdyrsgødning</v>
      </c>
      <c r="S86" s="754" t="str">
        <f t="shared" si="29"/>
        <v xml:space="preserve">  Biobrændstof og energiafgrøder</v>
      </c>
      <c r="T86" s="754" t="str">
        <f t="shared" si="29"/>
        <v xml:space="preserve">  Halm</v>
      </c>
      <c r="U86" s="754" t="str">
        <f t="shared" si="29"/>
        <v xml:space="preserve">  Brænde og træflis</v>
      </c>
      <c r="V86" s="754" t="str">
        <f t="shared" si="29"/>
        <v xml:space="preserve">  Træpiller og træaffald</v>
      </c>
      <c r="W86" s="754" t="str">
        <f t="shared" si="29"/>
        <v xml:space="preserve">  Organisk affald, industri</v>
      </c>
      <c r="X86" s="754" t="str">
        <f t="shared" si="29"/>
        <v xml:space="preserve">  Organisk affald, husholdninger</v>
      </c>
      <c r="Y86" s="754" t="str">
        <f t="shared" si="29"/>
        <v xml:space="preserve">  Deponi, slam, renseanlæg</v>
      </c>
      <c r="Z86" s="757" t="str">
        <f t="shared" si="29"/>
        <v xml:space="preserve">  Affald, ikke bionedbrydeligt</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11</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221.39</v>
      </c>
      <c r="B89" s="186">
        <v>64.8</v>
      </c>
      <c r="C89" s="186">
        <v>94.2</v>
      </c>
      <c r="D89" s="186">
        <v>79.03</v>
      </c>
      <c r="E89" s="186">
        <v>74.099999999999994</v>
      </c>
      <c r="F89" s="186">
        <f>E89</f>
        <v>74.099999999999994</v>
      </c>
      <c r="G89" s="186">
        <v>72</v>
      </c>
      <c r="H89" s="186">
        <v>73</v>
      </c>
      <c r="I89" s="59">
        <v>56.78</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D1:E1"/>
    <mergeCell ref="AB1:AB2"/>
    <mergeCell ref="AB3:AB4"/>
    <mergeCell ref="A6:AA6"/>
    <mergeCell ref="AC6:AF6"/>
    <mergeCell ref="AG6:AH6"/>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1">
    <tabColor theme="3" tint="0.59999389629810485"/>
    <pageSetUpPr fitToPage="1"/>
  </sheetPr>
  <dimension ref="A1:AY95"/>
  <sheetViews>
    <sheetView showGridLines="0" showZeros="0" zoomScale="85" zoomScaleNormal="85" workbookViewId="0">
      <selection activeCell="G5" sqref="G5"/>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47731</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92.61</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4" t="s">
        <v>670</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f t="shared" ref="AA8:AA80" si="0">SUM(A8:Z8)</f>
        <v>0</v>
      </c>
      <c r="AB8" s="128" t="s">
        <v>183</v>
      </c>
      <c r="AC8" s="19"/>
      <c r="AD8" s="195">
        <v>85.548227784460835</v>
      </c>
      <c r="AE8" s="20"/>
      <c r="AF8" s="21"/>
      <c r="AG8" s="19">
        <f t="shared" ref="AG8:AG11" si="1">-AH8/$D$2%</f>
        <v>-748.14884106600778</v>
      </c>
      <c r="AH8" s="25">
        <f>AK8/AD8%</f>
        <v>692.86064171122985</v>
      </c>
      <c r="AI8" s="33"/>
      <c r="AJ8" s="25"/>
      <c r="AK8" s="158">
        <f t="shared" ref="AK8:AK11" si="2">SUM(AL8:AT8)</f>
        <v>592.73</v>
      </c>
      <c r="AL8" s="153">
        <v>179.51</v>
      </c>
      <c r="AM8" s="153">
        <v>57.96</v>
      </c>
      <c r="AN8" s="153">
        <v>27.48</v>
      </c>
      <c r="AO8" s="153">
        <v>61.12</v>
      </c>
      <c r="AP8" s="153">
        <v>6.1899999999999995</v>
      </c>
      <c r="AQ8" s="153">
        <v>162.01</v>
      </c>
      <c r="AR8" s="153">
        <v>3.3</v>
      </c>
      <c r="AS8" s="153">
        <v>95.02</v>
      </c>
      <c r="AT8" s="8">
        <v>0.14000000000000001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f t="shared" si="0"/>
        <v>0</v>
      </c>
      <c r="AB9" s="128" t="s">
        <v>2</v>
      </c>
      <c r="AC9" s="19"/>
      <c r="AD9" s="20"/>
      <c r="AE9" s="20">
        <v>90</v>
      </c>
      <c r="AF9" s="21"/>
      <c r="AG9" s="19">
        <f t="shared" si="1"/>
        <v>-10.222078249289133</v>
      </c>
      <c r="AH9" s="25">
        <f>AK9/AE9%</f>
        <v>9.4666666666666668</v>
      </c>
      <c r="AI9" s="33"/>
      <c r="AJ9" s="25"/>
      <c r="AK9" s="158">
        <f t="shared" si="2"/>
        <v>8.52</v>
      </c>
      <c r="AL9" s="157">
        <v>8.52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f t="shared" si="0"/>
        <v>0</v>
      </c>
      <c r="AB10" s="128" t="s">
        <v>3</v>
      </c>
      <c r="AC10" s="19"/>
      <c r="AD10" s="20"/>
      <c r="AE10" s="20">
        <v>100</v>
      </c>
      <c r="AF10" s="21"/>
      <c r="AG10" s="19">
        <f t="shared" si="1"/>
        <v>-43.386243386243386</v>
      </c>
      <c r="AH10" s="25">
        <f>AK10/AE10%</f>
        <v>40.18</v>
      </c>
      <c r="AI10" s="33"/>
      <c r="AJ10" s="25"/>
      <c r="AK10" s="158">
        <f t="shared" si="2"/>
        <v>40.18</v>
      </c>
      <c r="AL10" s="157">
        <v>40.18</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f>AK11-AH11</f>
        <v>0</v>
      </c>
      <c r="R11" s="20"/>
      <c r="S11" s="20"/>
      <c r="T11" s="20"/>
      <c r="U11" s="20"/>
      <c r="V11" s="20"/>
      <c r="W11" s="20"/>
      <c r="X11" s="20"/>
      <c r="Y11" s="20"/>
      <c r="Z11" s="20"/>
      <c r="AA11" s="21">
        <f t="shared" si="0"/>
        <v>0</v>
      </c>
      <c r="AB11" s="128" t="s">
        <v>23</v>
      </c>
      <c r="AC11" s="19"/>
      <c r="AD11" s="20"/>
      <c r="AE11" s="20">
        <v>300</v>
      </c>
      <c r="AF11" s="21"/>
      <c r="AG11" s="19">
        <f t="shared" si="1"/>
        <v>0</v>
      </c>
      <c r="AH11" s="156">
        <f>AK11/AE11%</f>
        <v>0</v>
      </c>
      <c r="AI11" s="33"/>
      <c r="AJ11" s="25"/>
      <c r="AK11" s="158">
        <f t="shared" si="2"/>
        <v>0</v>
      </c>
      <c r="AL11" s="699">
        <v>0</v>
      </c>
      <c r="AM11" s="24"/>
      <c r="AN11" s="24"/>
      <c r="AO11" s="24"/>
      <c r="AP11" s="24"/>
      <c r="AQ11" s="24"/>
      <c r="AR11" s="24"/>
      <c r="AS11" s="24"/>
      <c r="AT11" s="25"/>
    </row>
    <row r="12" spans="1:51" ht="15" customHeight="1" x14ac:dyDescent="0.2">
      <c r="A12" s="155">
        <f>AC12%*AG12</f>
        <v>708.91875270154026</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f t="shared" si="0"/>
        <v>708.91875270154026</v>
      </c>
      <c r="AB12" s="128" t="s">
        <v>10</v>
      </c>
      <c r="AC12" s="19">
        <v>100</v>
      </c>
      <c r="AD12" s="20"/>
      <c r="AE12" s="20"/>
      <c r="AF12" s="21"/>
      <c r="AG12" s="19">
        <f>-SUM(AG13:AG80,AG8:AG11)</f>
        <v>708.91875270154026</v>
      </c>
      <c r="AH12" s="169"/>
      <c r="AI12" s="170"/>
      <c r="AJ12" s="169"/>
      <c r="AK12" s="171">
        <f t="shared" ref="AK12:AK43" si="3">SUM(AL12:AT12)</f>
        <v>0</v>
      </c>
      <c r="AL12" s="170"/>
      <c r="AM12" s="174"/>
      <c r="AN12" s="174"/>
      <c r="AO12" s="174"/>
      <c r="AP12" s="174"/>
      <c r="AQ12" s="174"/>
      <c r="AR12" s="174"/>
      <c r="AS12" s="174"/>
      <c r="AT12" s="169"/>
    </row>
    <row r="13" spans="1:51" ht="15" customHeight="1" x14ac:dyDescent="0.2">
      <c r="A13" s="176"/>
      <c r="B13" s="153">
        <v>86.88</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f t="shared" si="0"/>
        <v>86.88</v>
      </c>
      <c r="AB13" s="178" t="s">
        <v>29</v>
      </c>
      <c r="AC13" s="26"/>
      <c r="AD13" s="28"/>
      <c r="AE13" s="177">
        <v>38</v>
      </c>
      <c r="AF13" s="29"/>
      <c r="AG13" s="26"/>
      <c r="AH13" s="29"/>
      <c r="AI13" s="26"/>
      <c r="AJ13" s="29"/>
      <c r="AK13" s="22">
        <f t="shared" si="3"/>
        <v>33.014400000000002</v>
      </c>
      <c r="AL13" s="188">
        <f>AA13*AE13%*20%</f>
        <v>6.6028800000000007</v>
      </c>
      <c r="AM13" s="179"/>
      <c r="AN13" s="179"/>
      <c r="AO13" s="179"/>
      <c r="AP13" s="179"/>
      <c r="AQ13" s="179">
        <f>AA13*AE13%*60%</f>
        <v>19.80864</v>
      </c>
      <c r="AR13" s="179"/>
      <c r="AS13" s="179"/>
      <c r="AT13" s="189">
        <f>AA13*AE13%*20%</f>
        <v>6.6028800000000007</v>
      </c>
    </row>
    <row r="14" spans="1:51" ht="15" customHeight="1" x14ac:dyDescent="0.2">
      <c r="A14" s="19"/>
      <c r="B14" s="174"/>
      <c r="C14" s="20"/>
      <c r="D14" s="20"/>
      <c r="E14" s="153">
        <v>2093.83</v>
      </c>
      <c r="F14" s="174"/>
      <c r="G14" s="174"/>
      <c r="H14" s="174"/>
      <c r="I14" s="174"/>
      <c r="J14" s="24"/>
      <c r="K14" s="24"/>
      <c r="L14" s="24"/>
      <c r="M14" s="20"/>
      <c r="N14" s="20"/>
      <c r="O14" s="20"/>
      <c r="P14" s="20"/>
      <c r="Q14" s="174"/>
      <c r="R14" s="174"/>
      <c r="S14" s="174"/>
      <c r="T14" s="174"/>
      <c r="U14" s="174"/>
      <c r="V14" s="174"/>
      <c r="W14" s="174"/>
      <c r="X14" s="174"/>
      <c r="Y14" s="174"/>
      <c r="Z14" s="174"/>
      <c r="AA14" s="21">
        <f t="shared" si="0"/>
        <v>2093.83</v>
      </c>
      <c r="AB14" s="128" t="s">
        <v>215</v>
      </c>
      <c r="AC14" s="19"/>
      <c r="AD14" s="20"/>
      <c r="AE14" s="174">
        <v>80</v>
      </c>
      <c r="AF14" s="21"/>
      <c r="AG14" s="19"/>
      <c r="AH14" s="21"/>
      <c r="AI14" s="19"/>
      <c r="AJ14" s="21"/>
      <c r="AK14" s="22">
        <f t="shared" si="3"/>
        <v>1675.0640000000001</v>
      </c>
      <c r="AL14" s="30">
        <f t="shared" ref="AL14:AL19" si="4">AA14*AE14%</f>
        <v>1675.0640000000001</v>
      </c>
      <c r="AM14" s="20"/>
      <c r="AN14" s="20"/>
      <c r="AO14" s="20"/>
      <c r="AP14" s="20"/>
      <c r="AQ14" s="20"/>
      <c r="AR14" s="20"/>
      <c r="AS14" s="20"/>
      <c r="AT14" s="21"/>
      <c r="AY14" s="23"/>
    </row>
    <row r="15" spans="1:51" ht="15" customHeight="1" x14ac:dyDescent="0.2">
      <c r="A15" s="19"/>
      <c r="B15" s="174"/>
      <c r="C15" s="20"/>
      <c r="D15" s="20"/>
      <c r="E15" s="174"/>
      <c r="F15" s="174"/>
      <c r="G15" s="174"/>
      <c r="H15" s="174"/>
      <c r="I15" s="153">
        <v>86.46</v>
      </c>
      <c r="J15" s="153"/>
      <c r="K15" s="153"/>
      <c r="L15" s="153"/>
      <c r="M15" s="20"/>
      <c r="N15" s="20"/>
      <c r="O15" s="20"/>
      <c r="P15" s="20"/>
      <c r="Q15" s="174"/>
      <c r="R15" s="174"/>
      <c r="S15" s="174"/>
      <c r="T15" s="174"/>
      <c r="U15" s="174"/>
      <c r="V15" s="174"/>
      <c r="W15" s="174"/>
      <c r="X15" s="174"/>
      <c r="Y15" s="174"/>
      <c r="Z15" s="174"/>
      <c r="AA15" s="21">
        <f t="shared" si="0"/>
        <v>86.46</v>
      </c>
      <c r="AB15" s="128" t="s">
        <v>216</v>
      </c>
      <c r="AC15" s="19"/>
      <c r="AD15" s="20"/>
      <c r="AE15" s="174">
        <v>85</v>
      </c>
      <c r="AF15" s="21"/>
      <c r="AG15" s="19"/>
      <c r="AH15" s="21"/>
      <c r="AI15" s="19"/>
      <c r="AJ15" s="21"/>
      <c r="AK15" s="22">
        <f t="shared" si="3"/>
        <v>73.491</v>
      </c>
      <c r="AL15" s="30">
        <f t="shared" si="4"/>
        <v>73.491</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7.47</v>
      </c>
      <c r="W16" s="174"/>
      <c r="X16" s="174"/>
      <c r="Y16" s="174"/>
      <c r="Z16" s="174"/>
      <c r="AA16" s="21">
        <f t="shared" si="0"/>
        <v>7.47</v>
      </c>
      <c r="AB16" s="128" t="s">
        <v>217</v>
      </c>
      <c r="AC16" s="19"/>
      <c r="AD16" s="20"/>
      <c r="AE16" s="174">
        <v>75</v>
      </c>
      <c r="AF16" s="21"/>
      <c r="AG16" s="19"/>
      <c r="AH16" s="21"/>
      <c r="AI16" s="19"/>
      <c r="AJ16" s="21"/>
      <c r="AK16" s="22">
        <f t="shared" si="3"/>
        <v>5.6025</v>
      </c>
      <c r="AL16" s="30">
        <f t="shared" si="4"/>
        <v>5.6025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265.76</v>
      </c>
      <c r="V17" s="2"/>
      <c r="W17" s="174"/>
      <c r="X17" s="174"/>
      <c r="Y17" s="174"/>
      <c r="Z17" s="174"/>
      <c r="AA17" s="21">
        <f t="shared" si="0"/>
        <v>265.76</v>
      </c>
      <c r="AB17" s="128" t="s">
        <v>218</v>
      </c>
      <c r="AC17" s="19"/>
      <c r="AD17" s="20"/>
      <c r="AE17" s="174">
        <v>65</v>
      </c>
      <c r="AF17" s="21"/>
      <c r="AG17" s="19"/>
      <c r="AH17" s="21"/>
      <c r="AI17" s="19"/>
      <c r="AJ17" s="21"/>
      <c r="AK17" s="22">
        <f t="shared" si="3"/>
        <v>172.744</v>
      </c>
      <c r="AL17" s="30">
        <f t="shared" si="4"/>
        <v>172.744</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222.39</v>
      </c>
      <c r="U18" s="2"/>
      <c r="V18" s="2"/>
      <c r="W18" s="174"/>
      <c r="X18" s="174"/>
      <c r="Y18" s="174"/>
      <c r="Z18" s="174"/>
      <c r="AA18" s="21">
        <f t="shared" si="0"/>
        <v>222.39</v>
      </c>
      <c r="AB18" s="128" t="s">
        <v>219</v>
      </c>
      <c r="AC18" s="19"/>
      <c r="AD18" s="20"/>
      <c r="AE18" s="174">
        <v>65</v>
      </c>
      <c r="AF18" s="21"/>
      <c r="AG18" s="19"/>
      <c r="AH18" s="21"/>
      <c r="AI18" s="19"/>
      <c r="AJ18" s="21"/>
      <c r="AK18" s="22">
        <f t="shared" si="3"/>
        <v>144.55349999999999</v>
      </c>
      <c r="AL18" s="30">
        <f t="shared" si="4"/>
        <v>144.55349999999999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1.1000000000000001</v>
      </c>
      <c r="P19" s="20"/>
      <c r="Q19" s="174"/>
      <c r="R19" s="174"/>
      <c r="S19" s="174"/>
      <c r="T19" s="174"/>
      <c r="U19" s="174"/>
      <c r="V19" s="174"/>
      <c r="W19" s="174"/>
      <c r="X19" s="174"/>
      <c r="Y19" s="174"/>
      <c r="Z19" s="174"/>
      <c r="AA19" s="21">
        <f t="shared" si="0"/>
        <v>1.1000000000000001</v>
      </c>
      <c r="AB19" s="128" t="s">
        <v>220</v>
      </c>
      <c r="AC19" s="19"/>
      <c r="AD19" s="20"/>
      <c r="AE19" s="20">
        <v>100</v>
      </c>
      <c r="AF19" s="21"/>
      <c r="AG19" s="19"/>
      <c r="AH19" s="21"/>
      <c r="AI19" s="19"/>
      <c r="AJ19" s="21"/>
      <c r="AK19" s="22">
        <f t="shared" si="3"/>
        <v>1.1000000000000001</v>
      </c>
      <c r="AL19" s="30">
        <f t="shared" si="4"/>
        <v>1.1000000000000001</v>
      </c>
      <c r="AM19" s="20"/>
      <c r="AN19" s="20"/>
      <c r="AO19" s="20"/>
      <c r="AP19" s="20"/>
      <c r="AQ19" s="20"/>
      <c r="AR19" s="20"/>
      <c r="AS19" s="20"/>
      <c r="AT19" s="21"/>
      <c r="AY19" s="23"/>
    </row>
    <row r="20" spans="1:51" ht="15" customHeight="1" x14ac:dyDescent="0.2">
      <c r="A20" s="19"/>
      <c r="B20" s="20"/>
      <c r="C20" s="174"/>
      <c r="D20" s="174"/>
      <c r="E20" s="153">
        <v>376.49</v>
      </c>
      <c r="F20" s="174"/>
      <c r="G20" s="174"/>
      <c r="H20" s="174"/>
      <c r="I20" s="2"/>
      <c r="J20" s="2"/>
      <c r="K20" s="2"/>
      <c r="L20" s="2"/>
      <c r="M20" s="174"/>
      <c r="N20" s="174"/>
      <c r="O20" s="174"/>
      <c r="P20" s="174"/>
      <c r="Q20" s="174"/>
      <c r="R20" s="174"/>
      <c r="S20" s="174"/>
      <c r="T20" s="174"/>
      <c r="U20" s="174"/>
      <c r="V20" s="174"/>
      <c r="W20" s="174"/>
      <c r="X20" s="174"/>
      <c r="Y20" s="174"/>
      <c r="Z20" s="174"/>
      <c r="AA20" s="21">
        <f t="shared" si="0"/>
        <v>376.49</v>
      </c>
      <c r="AB20" s="128" t="s">
        <v>24</v>
      </c>
      <c r="AC20" s="19"/>
      <c r="AD20" s="20">
        <v>90</v>
      </c>
      <c r="AE20" s="20"/>
      <c r="AF20" s="21"/>
      <c r="AG20" s="19"/>
      <c r="AH20" s="21"/>
      <c r="AI20" s="19"/>
      <c r="AJ20" s="21"/>
      <c r="AK20" s="22">
        <f t="shared" si="3"/>
        <v>338.84100000000001</v>
      </c>
      <c r="AL20" s="30"/>
      <c r="AM20" s="20"/>
      <c r="AN20" s="20"/>
      <c r="AO20" s="20"/>
      <c r="AP20" s="20"/>
      <c r="AQ20" s="20">
        <f>AA20*AD20%</f>
        <v>338.84100000000001</v>
      </c>
      <c r="AR20" s="20"/>
      <c r="AS20" s="20"/>
      <c r="AT20" s="21"/>
      <c r="AV20" s="23"/>
    </row>
    <row r="21" spans="1:51" ht="15" customHeight="1" x14ac:dyDescent="0.2">
      <c r="A21" s="19"/>
      <c r="B21" s="20"/>
      <c r="C21" s="174"/>
      <c r="D21" s="174"/>
      <c r="E21" s="174"/>
      <c r="F21" s="174"/>
      <c r="G21" s="174"/>
      <c r="H21" s="174"/>
      <c r="I21" s="153">
        <v>422.2</v>
      </c>
      <c r="J21" s="153"/>
      <c r="K21" s="153"/>
      <c r="L21" s="153"/>
      <c r="M21" s="174"/>
      <c r="N21" s="174"/>
      <c r="O21" s="174"/>
      <c r="P21" s="174"/>
      <c r="Q21" s="174"/>
      <c r="R21" s="174"/>
      <c r="S21" s="174"/>
      <c r="T21" s="174"/>
      <c r="U21" s="174"/>
      <c r="V21" s="174"/>
      <c r="W21" s="174"/>
      <c r="X21" s="174"/>
      <c r="Y21" s="174"/>
      <c r="Z21" s="174"/>
      <c r="AA21" s="21">
        <f t="shared" si="0"/>
        <v>422.2</v>
      </c>
      <c r="AB21" s="128" t="s">
        <v>25</v>
      </c>
      <c r="AC21" s="19"/>
      <c r="AD21" s="20">
        <v>90</v>
      </c>
      <c r="AE21" s="20"/>
      <c r="AF21" s="21"/>
      <c r="AG21" s="19"/>
      <c r="AH21" s="21"/>
      <c r="AI21" s="19"/>
      <c r="AJ21" s="21"/>
      <c r="AK21" s="22">
        <f t="shared" si="3"/>
        <v>379.98</v>
      </c>
      <c r="AL21" s="30"/>
      <c r="AM21" s="20"/>
      <c r="AN21" s="20"/>
      <c r="AO21" s="20"/>
      <c r="AP21" s="20"/>
      <c r="AQ21" s="20">
        <f>AA21*AD21%</f>
        <v>379.98</v>
      </c>
      <c r="AR21" s="20"/>
      <c r="AS21" s="20"/>
      <c r="AT21" s="21"/>
      <c r="AV21" s="23"/>
    </row>
    <row r="22" spans="1:51" ht="15" customHeight="1" x14ac:dyDescent="0.2">
      <c r="A22" s="19"/>
      <c r="B22" s="20"/>
      <c r="C22" s="153">
        <v>0</v>
      </c>
      <c r="D22" s="153">
        <v>154.81</v>
      </c>
      <c r="E22" s="153">
        <v>0</v>
      </c>
      <c r="F22" s="153">
        <v>0</v>
      </c>
      <c r="G22" s="2"/>
      <c r="H22" s="153">
        <v>0</v>
      </c>
      <c r="I22" s="153">
        <v>0</v>
      </c>
      <c r="J22" s="2"/>
      <c r="K22" s="2"/>
      <c r="L22" s="2"/>
      <c r="M22" s="2"/>
      <c r="N22" s="2"/>
      <c r="O22" s="2"/>
      <c r="P22" s="2"/>
      <c r="Q22" s="2"/>
      <c r="R22" s="153">
        <v>0</v>
      </c>
      <c r="S22" s="153">
        <v>0</v>
      </c>
      <c r="T22" s="153">
        <v>0</v>
      </c>
      <c r="U22" s="153">
        <v>0</v>
      </c>
      <c r="V22" s="153">
        <v>40.24</v>
      </c>
      <c r="W22" s="153">
        <v>0</v>
      </c>
      <c r="X22" s="153">
        <v>0</v>
      </c>
      <c r="Y22" s="153">
        <v>0</v>
      </c>
      <c r="Z22" s="153">
        <v>0</v>
      </c>
      <c r="AA22" s="21">
        <f t="shared" si="0"/>
        <v>195.05</v>
      </c>
      <c r="AB22" s="128" t="s">
        <v>637</v>
      </c>
      <c r="AC22" s="19"/>
      <c r="AD22" s="20">
        <v>90</v>
      </c>
      <c r="AE22" s="20"/>
      <c r="AF22" s="21"/>
      <c r="AG22" s="19"/>
      <c r="AH22" s="21"/>
      <c r="AI22" s="19"/>
      <c r="AJ22" s="21"/>
      <c r="AK22" s="22">
        <f t="shared" si="3"/>
        <v>175.54500000000002</v>
      </c>
      <c r="AL22" s="175"/>
      <c r="AM22" s="174"/>
      <c r="AN22" s="174"/>
      <c r="AO22" s="174"/>
      <c r="AP22" s="174"/>
      <c r="AQ22" s="174">
        <f>AA22*AD22%</f>
        <v>175.54500000000002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f t="shared" si="0"/>
        <v>0</v>
      </c>
      <c r="AB23" s="128" t="s">
        <v>14</v>
      </c>
      <c r="AC23" s="20">
        <v>100</v>
      </c>
      <c r="AD23" s="20"/>
      <c r="AE23" s="20"/>
      <c r="AF23" s="21"/>
      <c r="AG23" s="19">
        <f>AA23*AC23/100</f>
        <v>0</v>
      </c>
      <c r="AH23" s="21"/>
      <c r="AI23" s="19"/>
      <c r="AJ23" s="21"/>
      <c r="AK23" s="22">
        <f t="shared" si="3"/>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92.06</v>
      </c>
      <c r="N24" s="174"/>
      <c r="O24" s="174"/>
      <c r="P24" s="174"/>
      <c r="Q24" s="174"/>
      <c r="R24" s="174"/>
      <c r="S24" s="174"/>
      <c r="T24" s="174"/>
      <c r="U24" s="174"/>
      <c r="V24" s="174"/>
      <c r="W24" s="174"/>
      <c r="X24" s="174"/>
      <c r="Y24" s="174"/>
      <c r="Z24" s="174"/>
      <c r="AA24" s="21">
        <f t="shared" si="0"/>
        <v>92.06</v>
      </c>
      <c r="AB24" s="128" t="s">
        <v>26</v>
      </c>
      <c r="AC24" s="20">
        <v>100</v>
      </c>
      <c r="AD24" s="20"/>
      <c r="AE24" s="20"/>
      <c r="AF24" s="21"/>
      <c r="AG24" s="19">
        <f>AC24*AA24/100</f>
        <v>92.06</v>
      </c>
      <c r="AH24" s="21"/>
      <c r="AI24" s="19"/>
      <c r="AJ24" s="21"/>
      <c r="AK24" s="22">
        <f t="shared" si="3"/>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f t="shared" si="0"/>
        <v>0</v>
      </c>
      <c r="AB25" s="128" t="s">
        <v>75</v>
      </c>
      <c r="AC25" s="170">
        <v>100</v>
      </c>
      <c r="AD25" s="174"/>
      <c r="AE25" s="174"/>
      <c r="AF25" s="169"/>
      <c r="AG25" s="170">
        <f>AC25*AA25/100</f>
        <v>0</v>
      </c>
      <c r="AH25" s="169"/>
      <c r="AI25" s="19"/>
      <c r="AJ25" s="21"/>
      <c r="AK25" s="22">
        <f t="shared" si="3"/>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f t="shared" si="0"/>
        <v>0</v>
      </c>
      <c r="AB26" s="128" t="s">
        <v>638</v>
      </c>
      <c r="AC26" s="153">
        <v>100</v>
      </c>
      <c r="AD26" s="174"/>
      <c r="AE26" s="174"/>
      <c r="AF26" s="169"/>
      <c r="AG26" s="170">
        <f>AC26*AA26/100</f>
        <v>0</v>
      </c>
      <c r="AH26" s="169"/>
      <c r="AI26" s="19"/>
      <c r="AJ26" s="21"/>
      <c r="AK26" s="22">
        <f t="shared" si="3"/>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f>-(I27*33.3%)/AD27%</f>
        <v>0</v>
      </c>
      <c r="S27" s="24">
        <f>-(I27*10.5%)/AD27%</f>
        <v>0</v>
      </c>
      <c r="T27" s="24">
        <f>-(I27*6.6%)/AD27%</f>
        <v>0</v>
      </c>
      <c r="U27" s="24"/>
      <c r="V27" s="24"/>
      <c r="W27" s="24">
        <f>-(I27*49.6%)/AD27%</f>
        <v>0</v>
      </c>
      <c r="X27" s="172"/>
      <c r="Y27" s="172"/>
      <c r="Z27" s="172"/>
      <c r="AA27" s="21">
        <f t="shared" si="0"/>
        <v>0</v>
      </c>
      <c r="AB27" s="129" t="s">
        <v>174</v>
      </c>
      <c r="AC27" s="180"/>
      <c r="AD27" s="172">
        <v>100</v>
      </c>
      <c r="AE27" s="172"/>
      <c r="AF27" s="173"/>
      <c r="AG27" s="181"/>
      <c r="AH27" s="173"/>
      <c r="AI27" s="6"/>
      <c r="AJ27" s="7"/>
      <c r="AK27" s="22">
        <f t="shared" si="3"/>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f>AA28*46%</f>
        <v>0</v>
      </c>
      <c r="S28" s="2"/>
      <c r="T28" s="2"/>
      <c r="U28" s="2"/>
      <c r="V28" s="2"/>
      <c r="W28" s="153">
        <f>AA28*54%</f>
        <v>0</v>
      </c>
      <c r="X28" s="172"/>
      <c r="Y28" s="172"/>
      <c r="Z28" s="172"/>
      <c r="AA28" s="25">
        <v>0</v>
      </c>
      <c r="AB28" s="129" t="s">
        <v>173</v>
      </c>
      <c r="AC28" s="153">
        <v>34.200000000000003</v>
      </c>
      <c r="AD28" s="2"/>
      <c r="AE28" s="172"/>
      <c r="AF28" s="173"/>
      <c r="AG28" s="170">
        <f>AA28*AC28/100</f>
        <v>0</v>
      </c>
      <c r="AH28" s="169"/>
      <c r="AI28" s="170">
        <f>AA28*AE28/100</f>
        <v>0</v>
      </c>
      <c r="AJ28" s="169"/>
      <c r="AK28" s="22">
        <f t="shared" si="3"/>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f t="shared" si="0"/>
        <v>0</v>
      </c>
      <c r="AB29" s="129" t="s">
        <v>184</v>
      </c>
      <c r="AC29" s="155">
        <v>0</v>
      </c>
      <c r="AD29" s="172"/>
      <c r="AE29" s="153">
        <v>0</v>
      </c>
      <c r="AF29" s="169"/>
      <c r="AG29" s="170">
        <f>AA29*AC29/100</f>
        <v>0</v>
      </c>
      <c r="AH29" s="169"/>
      <c r="AI29" s="19">
        <f>AA29*AE29/100</f>
        <v>0</v>
      </c>
      <c r="AJ29" s="21"/>
      <c r="AK29" s="22">
        <f t="shared" si="3"/>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f t="shared" si="0"/>
        <v>0</v>
      </c>
      <c r="AB30" s="129" t="s">
        <v>13</v>
      </c>
      <c r="AC30" s="181"/>
      <c r="AD30" s="172"/>
      <c r="AE30" s="153">
        <v>0</v>
      </c>
      <c r="AF30" s="169"/>
      <c r="AG30" s="170"/>
      <c r="AH30" s="169"/>
      <c r="AI30" s="19">
        <f>AA30*AE30/100</f>
        <v>0</v>
      </c>
      <c r="AJ30" s="21"/>
      <c r="AK30" s="22">
        <f t="shared" si="3"/>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f>AI31-AH31</f>
        <v>0</v>
      </c>
      <c r="R31" s="172"/>
      <c r="S31" s="172"/>
      <c r="T31" s="172"/>
      <c r="U31" s="172"/>
      <c r="V31" s="172"/>
      <c r="W31" s="172"/>
      <c r="X31" s="172"/>
      <c r="Y31" s="172"/>
      <c r="Z31" s="172"/>
      <c r="AA31" s="21">
        <f t="shared" si="0"/>
        <v>0</v>
      </c>
      <c r="AB31" s="129" t="s">
        <v>171</v>
      </c>
      <c r="AC31" s="170"/>
      <c r="AD31" s="174"/>
      <c r="AE31" s="24">
        <v>300</v>
      </c>
      <c r="AF31" s="169"/>
      <c r="AG31" s="181">
        <f>-AH31/$D$2%</f>
        <v>0</v>
      </c>
      <c r="AH31" s="700">
        <v>0</v>
      </c>
      <c r="AI31" s="182">
        <f>AH31*AE31%</f>
        <v>0</v>
      </c>
      <c r="AJ31" s="7"/>
      <c r="AK31" s="22">
        <f t="shared" si="3"/>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f t="shared" si="0"/>
        <v>0</v>
      </c>
      <c r="AB32" s="129" t="s">
        <v>172</v>
      </c>
      <c r="AC32" s="170"/>
      <c r="AD32" s="174"/>
      <c r="AE32" s="24">
        <v>100</v>
      </c>
      <c r="AF32" s="169"/>
      <c r="AG32" s="181">
        <f>-AH32/$D$2%</f>
        <v>0</v>
      </c>
      <c r="AH32" s="700">
        <v>0</v>
      </c>
      <c r="AI32" s="170">
        <f>AH32*AE32%</f>
        <v>0</v>
      </c>
      <c r="AJ32" s="7"/>
      <c r="AK32" s="22">
        <f t="shared" si="3"/>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f t="shared" si="0"/>
        <v>0</v>
      </c>
      <c r="AB33" s="129" t="s">
        <v>27</v>
      </c>
      <c r="AC33" s="181"/>
      <c r="AD33" s="172"/>
      <c r="AE33" s="172"/>
      <c r="AF33" s="156">
        <v>75</v>
      </c>
      <c r="AG33" s="170"/>
      <c r="AH33" s="169"/>
      <c r="AI33" s="19">
        <f>-SUM(AI29:AI32)</f>
        <v>0</v>
      </c>
      <c r="AJ33" s="21">
        <f>-AI33*AF33%</f>
        <v>0</v>
      </c>
      <c r="AK33" s="22">
        <f>SUM(AL33:AT33)</f>
        <v>0</v>
      </c>
      <c r="AL33" s="157">
        <f>AJ33*64.9%</f>
        <v>0</v>
      </c>
      <c r="AM33" s="157">
        <f>AJ33*9.8%</f>
        <v>0</v>
      </c>
      <c r="AN33" s="153">
        <f>AJ33*13.2%</f>
        <v>0</v>
      </c>
      <c r="AO33" s="153">
        <f>AJ33*7%</f>
        <v>0</v>
      </c>
      <c r="AP33" s="153"/>
      <c r="AQ33" s="153">
        <f>AJ33*3.6%</f>
        <v>0</v>
      </c>
      <c r="AR33" s="153">
        <f>AJ33*1.5%</f>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f t="shared" si="0"/>
        <v>0</v>
      </c>
      <c r="AB34" s="129" t="s">
        <v>185</v>
      </c>
      <c r="AC34" s="155">
        <v>0</v>
      </c>
      <c r="AD34" s="172"/>
      <c r="AE34" s="153">
        <v>0</v>
      </c>
      <c r="AF34" s="173"/>
      <c r="AG34" s="170">
        <f>AA34*AC34/100</f>
        <v>0</v>
      </c>
      <c r="AH34" s="169"/>
      <c r="AI34" s="19">
        <f>AA34*AE34/100</f>
        <v>0</v>
      </c>
      <c r="AJ34" s="21"/>
      <c r="AK34" s="22">
        <f t="shared" si="3"/>
        <v>0</v>
      </c>
      <c r="AL34" s="180"/>
      <c r="AM34" s="172"/>
      <c r="AN34" s="172"/>
      <c r="AO34" s="172"/>
      <c r="AP34" s="172"/>
      <c r="AQ34" s="172"/>
      <c r="AR34" s="172"/>
      <c r="AS34" s="174"/>
      <c r="AT34" s="21"/>
    </row>
    <row r="35" spans="1:47" ht="15" customHeight="1" x14ac:dyDescent="0.2">
      <c r="A35" s="20"/>
      <c r="B35" s="24">
        <v>0</v>
      </c>
      <c r="C35" s="24">
        <v>232.7</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20.2</v>
      </c>
      <c r="W35" s="24">
        <v>0</v>
      </c>
      <c r="X35" s="24">
        <v>27.39</v>
      </c>
      <c r="Y35" s="24">
        <v>0</v>
      </c>
      <c r="Z35" s="24">
        <v>22.41</v>
      </c>
      <c r="AA35" s="21">
        <f t="shared" si="0"/>
        <v>302.7</v>
      </c>
      <c r="AB35" s="129" t="s">
        <v>7</v>
      </c>
      <c r="AC35" s="181"/>
      <c r="AD35" s="172"/>
      <c r="AE35" s="153">
        <v>101.1</v>
      </c>
      <c r="AF35" s="173"/>
      <c r="AG35" s="170">
        <f>AA35*AC35/100</f>
        <v>0</v>
      </c>
      <c r="AH35" s="169"/>
      <c r="AI35" s="19">
        <f>AA35*AE35/100</f>
        <v>306.02969999999999</v>
      </c>
      <c r="AJ35" s="21"/>
      <c r="AK35" s="22">
        <f t="shared" si="3"/>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f t="shared" si="0"/>
        <v>0</v>
      </c>
      <c r="AB36" s="130" t="s">
        <v>28</v>
      </c>
      <c r="AC36" s="181"/>
      <c r="AD36" s="172"/>
      <c r="AE36" s="172"/>
      <c r="AF36" s="156">
        <v>75</v>
      </c>
      <c r="AG36" s="170"/>
      <c r="AH36" s="169"/>
      <c r="AI36" s="19">
        <f>-SUM(AI34:AI35)</f>
        <v>-306.02969999999999</v>
      </c>
      <c r="AJ36" s="21">
        <f>-AI36*AF36%</f>
        <v>229.52227499999998</v>
      </c>
      <c r="AK36" s="22">
        <f t="shared" si="3"/>
        <v>229.52227499999998</v>
      </c>
      <c r="AL36" s="157">
        <f>AJ36*64.9%</f>
        <v>148.95995647499998</v>
      </c>
      <c r="AM36" s="157">
        <f>AJ36*9.8%</f>
        <v>22.493182949999998</v>
      </c>
      <c r="AN36" s="153">
        <f>AJ36*13.2%</f>
        <v>30.296940299999999</v>
      </c>
      <c r="AO36" s="153">
        <f>AJ36*7%</f>
        <v>16.066559250000001</v>
      </c>
      <c r="AP36" s="153"/>
      <c r="AQ36" s="153">
        <f>AJ36*3.6%</f>
        <v>8.2628018999999995</v>
      </c>
      <c r="AR36" s="153">
        <f>AJ36*1.5%</f>
        <v>3.4428341249999996</v>
      </c>
      <c r="AS36" s="153"/>
      <c r="AT36" s="21"/>
    </row>
    <row r="37" spans="1:47" ht="15" customHeight="1" x14ac:dyDescent="0.2">
      <c r="A37" s="20"/>
      <c r="B37" s="153">
        <v>0</v>
      </c>
      <c r="C37" s="153">
        <v>0</v>
      </c>
      <c r="D37" s="153">
        <v>0</v>
      </c>
      <c r="E37" s="153">
        <v>0</v>
      </c>
      <c r="F37" s="153">
        <v>0</v>
      </c>
      <c r="G37" s="153">
        <v>0</v>
      </c>
      <c r="H37" s="153">
        <v>0</v>
      </c>
      <c r="I37" s="153">
        <v>2.7</v>
      </c>
      <c r="J37" s="692"/>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f t="shared" si="0"/>
        <v>2.7</v>
      </c>
      <c r="AB37" s="130" t="s">
        <v>186</v>
      </c>
      <c r="AC37" s="155">
        <v>28.829999999999995</v>
      </c>
      <c r="AD37" s="172"/>
      <c r="AE37" s="153">
        <v>0</v>
      </c>
      <c r="AF37" s="173"/>
      <c r="AG37" s="19">
        <f>AA37*AC37/100</f>
        <v>0.77840999999999994</v>
      </c>
      <c r="AH37" s="21"/>
      <c r="AI37" s="19">
        <f t="shared" ref="AI37" si="5">AA37*AE37/100</f>
        <v>0</v>
      </c>
      <c r="AJ37" s="21"/>
      <c r="AK37" s="22">
        <f t="shared" si="3"/>
        <v>0</v>
      </c>
      <c r="AL37" s="175"/>
      <c r="AM37" s="174"/>
      <c r="AN37" s="174"/>
      <c r="AO37" s="174"/>
      <c r="AP37" s="174"/>
      <c r="AQ37" s="174"/>
      <c r="AR37" s="174"/>
      <c r="AS37" s="174"/>
      <c r="AT37" s="21"/>
    </row>
    <row r="38" spans="1:47" ht="15" customHeight="1" x14ac:dyDescent="0.2">
      <c r="A38" s="20"/>
      <c r="B38" s="153">
        <v>0</v>
      </c>
      <c r="C38" s="153">
        <v>30.7</v>
      </c>
      <c r="D38" s="153">
        <v>28.4</v>
      </c>
      <c r="E38" s="153">
        <v>0</v>
      </c>
      <c r="F38" s="153">
        <v>0</v>
      </c>
      <c r="G38" s="153">
        <v>0</v>
      </c>
      <c r="H38" s="153">
        <v>0</v>
      </c>
      <c r="I38" s="153">
        <v>165.29999999999998</v>
      </c>
      <c r="J38" s="31"/>
      <c r="K38" s="153"/>
      <c r="L38" s="153"/>
      <c r="M38" s="153">
        <v>0</v>
      </c>
      <c r="N38" s="153">
        <v>0</v>
      </c>
      <c r="O38" s="153">
        <v>0</v>
      </c>
      <c r="P38" s="153">
        <v>0</v>
      </c>
      <c r="Q38" s="153">
        <v>0</v>
      </c>
      <c r="R38" s="153">
        <v>0</v>
      </c>
      <c r="S38" s="153">
        <v>0</v>
      </c>
      <c r="T38" s="153">
        <v>55.4</v>
      </c>
      <c r="U38" s="153">
        <v>0</v>
      </c>
      <c r="V38" s="153">
        <v>75</v>
      </c>
      <c r="W38" s="153">
        <v>0</v>
      </c>
      <c r="X38" s="153">
        <v>0</v>
      </c>
      <c r="Y38" s="153">
        <v>0</v>
      </c>
      <c r="Z38" s="153">
        <v>0</v>
      </c>
      <c r="AA38" s="21">
        <f t="shared" si="0"/>
        <v>354.79999999999995</v>
      </c>
      <c r="AB38" s="130" t="s">
        <v>209</v>
      </c>
      <c r="AC38" s="181"/>
      <c r="AD38" s="172"/>
      <c r="AE38" s="153">
        <v>82.265016910935756</v>
      </c>
      <c r="AF38" s="173"/>
      <c r="AG38" s="19">
        <f>AA38*AC38/100</f>
        <v>0</v>
      </c>
      <c r="AH38" s="21"/>
      <c r="AI38" s="19">
        <f>AA38*AE38/100</f>
        <v>291.87628000000007</v>
      </c>
      <c r="AJ38" s="21"/>
      <c r="AK38" s="22">
        <f t="shared" si="3"/>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f>AI39-AH39</f>
        <v>0</v>
      </c>
      <c r="R39" s="2"/>
      <c r="S39" s="2"/>
      <c r="T39" s="2"/>
      <c r="U39" s="2"/>
      <c r="V39" s="2"/>
      <c r="W39" s="2"/>
      <c r="X39" s="2"/>
      <c r="Y39" s="2"/>
      <c r="Z39" s="2"/>
      <c r="AA39" s="21">
        <f t="shared" si="0"/>
        <v>0</v>
      </c>
      <c r="AB39" s="130" t="s">
        <v>210</v>
      </c>
      <c r="AC39" s="170"/>
      <c r="AD39" s="174"/>
      <c r="AE39" s="153">
        <v>0</v>
      </c>
      <c r="AF39" s="169"/>
      <c r="AG39" s="181">
        <f>-AH39/$D$2%</f>
        <v>0</v>
      </c>
      <c r="AH39" s="700">
        <v>0</v>
      </c>
      <c r="AI39" s="170">
        <f>(AH39+I39)*AE39%</f>
        <v>0</v>
      </c>
      <c r="AJ39" s="173"/>
      <c r="AK39" s="22">
        <f t="shared" si="3"/>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f t="shared" si="0"/>
        <v>0</v>
      </c>
      <c r="AB40" s="130" t="s">
        <v>211</v>
      </c>
      <c r="AC40" s="170"/>
      <c r="AD40" s="174"/>
      <c r="AE40" s="153">
        <v>0</v>
      </c>
      <c r="AF40" s="169"/>
      <c r="AG40" s="181">
        <f>-AH40/$D$2%</f>
        <v>0</v>
      </c>
      <c r="AH40" s="700">
        <v>0</v>
      </c>
      <c r="AI40" s="181">
        <f>AH40*AE40%</f>
        <v>0</v>
      </c>
      <c r="AJ40" s="173"/>
      <c r="AK40" s="22">
        <f t="shared" si="3"/>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f t="shared" si="0"/>
        <v>0</v>
      </c>
      <c r="AB41" s="130" t="s">
        <v>212</v>
      </c>
      <c r="AC41" s="181"/>
      <c r="AD41" s="172"/>
      <c r="AE41" s="153">
        <v>0</v>
      </c>
      <c r="AF41" s="173"/>
      <c r="AG41" s="19"/>
      <c r="AH41" s="21"/>
      <c r="AI41" s="19">
        <f t="shared" ref="AI41:AI42" si="6">AA41*AE41/100</f>
        <v>0</v>
      </c>
      <c r="AJ41" s="21"/>
      <c r="AK41" s="22">
        <f t="shared" si="3"/>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f t="shared" si="0"/>
        <v>0</v>
      </c>
      <c r="AB42" s="130" t="s">
        <v>213</v>
      </c>
      <c r="AC42" s="181"/>
      <c r="AD42" s="172"/>
      <c r="AE42" s="153">
        <v>100</v>
      </c>
      <c r="AF42" s="173"/>
      <c r="AG42" s="19">
        <f>AA42*AC42/100</f>
        <v>0</v>
      </c>
      <c r="AH42" s="21"/>
      <c r="AI42" s="19">
        <f t="shared" si="6"/>
        <v>0</v>
      </c>
      <c r="AJ42" s="21"/>
      <c r="AK42" s="22">
        <f t="shared" si="3"/>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f t="shared" si="0"/>
        <v>0</v>
      </c>
      <c r="AB43" s="130" t="s">
        <v>214</v>
      </c>
      <c r="AC43" s="181"/>
      <c r="AD43" s="172"/>
      <c r="AE43" s="172"/>
      <c r="AF43" s="156">
        <v>75</v>
      </c>
      <c r="AG43" s="170"/>
      <c r="AH43" s="169"/>
      <c r="AI43" s="170">
        <f>-SUM(AI37:AI42)</f>
        <v>-291.87628000000007</v>
      </c>
      <c r="AJ43" s="169">
        <f>-AI43*AF43%</f>
        <v>218.90721000000005</v>
      </c>
      <c r="AK43" s="22">
        <f t="shared" si="3"/>
        <v>218.90721000000008</v>
      </c>
      <c r="AL43" s="157">
        <f>AJ43*64.9%</f>
        <v>142.07077929000005</v>
      </c>
      <c r="AM43" s="157">
        <f>AJ43*9.8%</f>
        <v>21.452906580000004</v>
      </c>
      <c r="AN43" s="153">
        <f>AJ43*13.2%</f>
        <v>28.895751720000007</v>
      </c>
      <c r="AO43" s="153">
        <f>AJ43*7%</f>
        <v>15.323504700000004</v>
      </c>
      <c r="AP43" s="153"/>
      <c r="AQ43" s="153">
        <f>AJ43*3.6%</f>
        <v>7.8806595600000025</v>
      </c>
      <c r="AR43" s="153">
        <f>AJ43*1.5%</f>
        <v>3.2836081500000005</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f t="shared" si="0"/>
        <v>0</v>
      </c>
      <c r="AB44" s="130" t="s">
        <v>187</v>
      </c>
      <c r="AC44" s="141">
        <v>0</v>
      </c>
      <c r="AD44" s="172"/>
      <c r="AE44" s="2">
        <v>0</v>
      </c>
      <c r="AF44" s="156"/>
      <c r="AG44" s="19">
        <f>AA44*AC44/100</f>
        <v>0</v>
      </c>
      <c r="AH44" s="169"/>
      <c r="AI44" s="170">
        <f>AA44*AE44/100</f>
        <v>0</v>
      </c>
      <c r="AJ44" s="169"/>
      <c r="AK44" s="22">
        <f t="shared" ref="AK44:AK59" si="7">SUM(AL44:AT44)</f>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f t="shared" si="0"/>
        <v>0</v>
      </c>
      <c r="AB45" s="130" t="s">
        <v>188</v>
      </c>
      <c r="AC45" s="181"/>
      <c r="AD45" s="172"/>
      <c r="AE45" s="153">
        <v>99</v>
      </c>
      <c r="AF45" s="173"/>
      <c r="AG45" s="170">
        <f>-AH45/$D$2%</f>
        <v>0</v>
      </c>
      <c r="AH45" s="169"/>
      <c r="AI45" s="170">
        <f>AA45*AE45%</f>
        <v>0</v>
      </c>
      <c r="AJ45" s="169"/>
      <c r="AK45" s="22">
        <f t="shared" si="7"/>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f>AI46-AH46</f>
        <v>0</v>
      </c>
      <c r="R46" s="24"/>
      <c r="S46" s="24"/>
      <c r="T46" s="24"/>
      <c r="U46" s="24"/>
      <c r="V46" s="24"/>
      <c r="W46" s="24"/>
      <c r="X46" s="24"/>
      <c r="Y46" s="24"/>
      <c r="Z46" s="24"/>
      <c r="AA46" s="29">
        <f t="shared" si="0"/>
        <v>0</v>
      </c>
      <c r="AB46" s="130" t="s">
        <v>189</v>
      </c>
      <c r="AC46" s="170"/>
      <c r="AD46" s="174"/>
      <c r="AE46" s="153">
        <v>300</v>
      </c>
      <c r="AF46" s="169"/>
      <c r="AG46" s="170">
        <f>-AH46/$D$2%</f>
        <v>0</v>
      </c>
      <c r="AH46" s="156"/>
      <c r="AI46" s="170">
        <f>(AH46+I46)*AE46%</f>
        <v>0</v>
      </c>
      <c r="AJ46" s="21"/>
      <c r="AK46" s="22">
        <f t="shared" si="7"/>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f t="shared" si="0"/>
        <v>0</v>
      </c>
      <c r="AB47" s="130" t="s">
        <v>190</v>
      </c>
      <c r="AC47" s="170"/>
      <c r="AD47" s="174"/>
      <c r="AE47" s="153">
        <v>100</v>
      </c>
      <c r="AF47" s="169"/>
      <c r="AG47" s="170">
        <f>-AH47/$D$2%</f>
        <v>0</v>
      </c>
      <c r="AH47" s="156"/>
      <c r="AI47" s="181">
        <f>AH47*AE47%</f>
        <v>0</v>
      </c>
      <c r="AJ47" s="169"/>
      <c r="AK47" s="22">
        <f t="shared" si="7"/>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f t="shared" si="0"/>
        <v>0</v>
      </c>
      <c r="AB48" s="130" t="s">
        <v>191</v>
      </c>
      <c r="AC48" s="170"/>
      <c r="AD48" s="174"/>
      <c r="AE48" s="24">
        <v>100</v>
      </c>
      <c r="AF48" s="169"/>
      <c r="AG48" s="170"/>
      <c r="AH48" s="169"/>
      <c r="AI48" s="170">
        <f>AA48*AE48/100</f>
        <v>0</v>
      </c>
      <c r="AJ48" s="169"/>
      <c r="AK48" s="22">
        <f t="shared" si="7"/>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f t="shared" si="0"/>
        <v>0</v>
      </c>
      <c r="AB49" s="130" t="s">
        <v>192</v>
      </c>
      <c r="AC49" s="181"/>
      <c r="AD49" s="172"/>
      <c r="AE49" s="153">
        <v>100</v>
      </c>
      <c r="AF49" s="173"/>
      <c r="AG49" s="170">
        <f>AA49*AC49%</f>
        <v>0</v>
      </c>
      <c r="AH49" s="169"/>
      <c r="AI49" s="170">
        <f>AA49*AE49%</f>
        <v>0</v>
      </c>
      <c r="AJ49" s="169"/>
      <c r="AK49" s="22">
        <f t="shared" si="7"/>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f t="shared" si="0"/>
        <v>0</v>
      </c>
      <c r="AB50" s="130" t="s">
        <v>193</v>
      </c>
      <c r="AC50" s="181"/>
      <c r="AD50" s="172"/>
      <c r="AE50" s="2">
        <v>100</v>
      </c>
      <c r="AF50" s="173"/>
      <c r="AG50" s="170"/>
      <c r="AH50" s="169"/>
      <c r="AI50" s="33"/>
      <c r="AJ50" s="169"/>
      <c r="AK50" s="22">
        <f t="shared" si="7"/>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f t="shared" si="0"/>
        <v>0</v>
      </c>
      <c r="AB51" s="130" t="s">
        <v>194</v>
      </c>
      <c r="AC51" s="181"/>
      <c r="AD51" s="172"/>
      <c r="AE51" s="172"/>
      <c r="AF51" s="156">
        <v>75</v>
      </c>
      <c r="AG51" s="170"/>
      <c r="AH51" s="169"/>
      <c r="AI51" s="6">
        <f>-SUM(AI44:AI50)</f>
        <v>0</v>
      </c>
      <c r="AJ51" s="169">
        <f>-AI51*AF51/100</f>
        <v>0</v>
      </c>
      <c r="AK51" s="22">
        <f t="shared" si="7"/>
        <v>0</v>
      </c>
      <c r="AL51" s="157">
        <f>AJ51*64.9%</f>
        <v>0</v>
      </c>
      <c r="AM51" s="157">
        <f>AJ51*9.8%</f>
        <v>0</v>
      </c>
      <c r="AN51" s="153">
        <f>AJ51*13.2%</f>
        <v>0</v>
      </c>
      <c r="AO51" s="153">
        <f>AJ51*7%</f>
        <v>0</v>
      </c>
      <c r="AP51" s="153"/>
      <c r="AQ51" s="153">
        <f>AJ51*3.6%</f>
        <v>0</v>
      </c>
      <c r="AR51" s="153">
        <f>AJ51*1.5%</f>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f t="shared" si="0"/>
        <v>0</v>
      </c>
      <c r="AB52" s="130" t="s">
        <v>195</v>
      </c>
      <c r="AC52" s="155">
        <v>0</v>
      </c>
      <c r="AD52" s="172"/>
      <c r="AE52" s="153">
        <v>0</v>
      </c>
      <c r="AF52" s="173"/>
      <c r="AG52" s="19">
        <f t="shared" ref="AG52:AG54" si="8">AC52/100*AA52</f>
        <v>0</v>
      </c>
      <c r="AH52" s="21"/>
      <c r="AI52" s="19">
        <f>AA52*AE52/100</f>
        <v>0</v>
      </c>
      <c r="AJ52" s="21"/>
      <c r="AK52" s="22">
        <f t="shared" si="7"/>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f t="shared" si="0"/>
        <v>0</v>
      </c>
      <c r="AB53" s="130" t="s">
        <v>196</v>
      </c>
      <c r="AC53" s="181"/>
      <c r="AD53" s="172"/>
      <c r="AE53" s="153">
        <v>0</v>
      </c>
      <c r="AF53" s="173"/>
      <c r="AG53" s="19">
        <f t="shared" si="8"/>
        <v>0</v>
      </c>
      <c r="AH53" s="21"/>
      <c r="AI53" s="19">
        <f>AA53*AE53/100</f>
        <v>0</v>
      </c>
      <c r="AJ53" s="21"/>
      <c r="AK53" s="22">
        <f t="shared" si="7"/>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f t="shared" si="0"/>
        <v>0</v>
      </c>
      <c r="AB54" s="130" t="s">
        <v>197</v>
      </c>
      <c r="AC54" s="181"/>
      <c r="AD54" s="172"/>
      <c r="AE54" s="2">
        <v>100</v>
      </c>
      <c r="AF54" s="173"/>
      <c r="AG54" s="19">
        <f t="shared" si="8"/>
        <v>0</v>
      </c>
      <c r="AH54" s="156"/>
      <c r="AI54" s="33">
        <v>0</v>
      </c>
      <c r="AJ54" s="21"/>
      <c r="AK54" s="22">
        <f t="shared" si="7"/>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f t="shared" si="0"/>
        <v>0</v>
      </c>
      <c r="AB55" s="675" t="s">
        <v>198</v>
      </c>
      <c r="AC55" s="6"/>
      <c r="AD55" s="148"/>
      <c r="AE55" s="148"/>
      <c r="AF55" s="183"/>
      <c r="AG55" s="19">
        <f>-AH55</f>
        <v>0</v>
      </c>
      <c r="AH55" s="8">
        <v>0</v>
      </c>
      <c r="AI55" s="141"/>
      <c r="AJ55" s="21"/>
      <c r="AK55" s="22">
        <f t="shared" si="7"/>
        <v>0</v>
      </c>
      <c r="AL55" s="175"/>
      <c r="AM55" s="174"/>
      <c r="AN55" s="174"/>
      <c r="AO55" s="174"/>
      <c r="AP55" s="174"/>
      <c r="AQ55" s="174">
        <f>AH55</f>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f t="shared" si="0"/>
        <v>0</v>
      </c>
      <c r="AB56" s="675" t="s">
        <v>199</v>
      </c>
      <c r="AC56" s="6"/>
      <c r="AD56" s="148"/>
      <c r="AE56" s="148"/>
      <c r="AF56" s="173"/>
      <c r="AG56" s="19"/>
      <c r="AH56" s="173"/>
      <c r="AI56" s="141">
        <v>0</v>
      </c>
      <c r="AJ56" s="21"/>
      <c r="AK56" s="22">
        <f t="shared" si="7"/>
        <v>0</v>
      </c>
      <c r="AL56" s="175"/>
      <c r="AM56" s="174"/>
      <c r="AN56" s="174"/>
      <c r="AO56" s="174"/>
      <c r="AP56" s="174"/>
      <c r="AQ56" s="174">
        <f>-AI56</f>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f t="shared" si="0"/>
        <v>0</v>
      </c>
      <c r="AB57" s="130" t="s">
        <v>200</v>
      </c>
      <c r="AC57" s="6">
        <v>65</v>
      </c>
      <c r="AD57" s="148"/>
      <c r="AE57" s="148">
        <v>15</v>
      </c>
      <c r="AF57" s="173"/>
      <c r="AG57" s="19">
        <f>-AH57/$D$2%</f>
        <v>0</v>
      </c>
      <c r="AH57" s="173"/>
      <c r="AI57" s="141">
        <f>AH57*AE57%</f>
        <v>0</v>
      </c>
      <c r="AJ57" s="21">
        <f>AI57*AF60%</f>
        <v>0</v>
      </c>
      <c r="AK57" s="22">
        <f t="shared" si="7"/>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f t="shared" si="0"/>
        <v>0</v>
      </c>
      <c r="AB58" s="130" t="s">
        <v>201</v>
      </c>
      <c r="AC58" s="6">
        <v>630</v>
      </c>
      <c r="AD58" s="148"/>
      <c r="AE58" s="148"/>
      <c r="AF58" s="173"/>
      <c r="AG58" s="19">
        <f>-AH58/$D$2%</f>
        <v>0</v>
      </c>
      <c r="AH58" s="173"/>
      <c r="AI58" s="141">
        <f t="shared" ref="AI58:AI59" si="9">AH58*AE58%</f>
        <v>0</v>
      </c>
      <c r="AJ58" s="21">
        <f t="shared" ref="AJ58:AJ59" si="10">AI58*AF61%</f>
        <v>0</v>
      </c>
      <c r="AK58" s="22">
        <f t="shared" si="7"/>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f t="shared" si="0"/>
        <v>0</v>
      </c>
      <c r="AB59" s="130" t="s">
        <v>202</v>
      </c>
      <c r="AC59" s="6"/>
      <c r="AD59" s="148"/>
      <c r="AE59" s="148"/>
      <c r="AF59" s="173"/>
      <c r="AG59" s="19">
        <f>-AH59/$D$2%</f>
        <v>0</v>
      </c>
      <c r="AH59" s="173"/>
      <c r="AI59" s="141">
        <f t="shared" si="9"/>
        <v>0</v>
      </c>
      <c r="AJ59" s="21">
        <f t="shared" si="10"/>
        <v>0</v>
      </c>
      <c r="AK59" s="22">
        <f t="shared" si="7"/>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f t="shared" si="0"/>
        <v>0</v>
      </c>
      <c r="AB60" s="130" t="s">
        <v>203</v>
      </c>
      <c r="AC60" s="6"/>
      <c r="AD60" s="148"/>
      <c r="AE60" s="148"/>
      <c r="AF60" s="156">
        <v>75</v>
      </c>
      <c r="AG60" s="19"/>
      <c r="AH60" s="21"/>
      <c r="AI60" s="19">
        <f>-SUM(AI52:AI59)</f>
        <v>0</v>
      </c>
      <c r="AJ60" s="21">
        <f>-AI60*AF60/100</f>
        <v>0</v>
      </c>
      <c r="AK60" s="22">
        <f t="shared" ref="AK60:AK61" si="11">SUM(AL60:AT60)</f>
        <v>0</v>
      </c>
      <c r="AL60" s="157">
        <f>AJ60*64.9%</f>
        <v>0</v>
      </c>
      <c r="AM60" s="157">
        <f>AJ60*9.8%</f>
        <v>0</v>
      </c>
      <c r="AN60" s="153">
        <f>AJ60*13.2%</f>
        <v>0</v>
      </c>
      <c r="AO60" s="153">
        <f>AJ60*7%</f>
        <v>0</v>
      </c>
      <c r="AP60" s="153"/>
      <c r="AQ60" s="153">
        <f>AJ60*3.6%</f>
        <v>0</v>
      </c>
      <c r="AR60" s="153">
        <f>AJ60*1.5%</f>
        <v>0</v>
      </c>
      <c r="AS60" s="153"/>
      <c r="AT60" s="21"/>
    </row>
    <row r="61" spans="1:46" ht="15" customHeight="1" x14ac:dyDescent="0.2">
      <c r="A61" s="19"/>
      <c r="B61" s="20"/>
      <c r="C61" s="20"/>
      <c r="D61" s="20"/>
      <c r="E61" s="20"/>
      <c r="F61" s="172"/>
      <c r="G61" s="172"/>
      <c r="H61" s="153">
        <f>AA61-S61</f>
        <v>744.64207401748854</v>
      </c>
      <c r="I61" s="172"/>
      <c r="J61" s="172"/>
      <c r="K61" s="172"/>
      <c r="L61" s="172"/>
      <c r="M61" s="172"/>
      <c r="N61" s="172"/>
      <c r="O61" s="172"/>
      <c r="P61" s="172"/>
      <c r="Q61" s="172"/>
      <c r="R61" s="172"/>
      <c r="S61" s="153">
        <f>AA61*0%</f>
        <v>0</v>
      </c>
      <c r="T61" s="174"/>
      <c r="U61" s="20"/>
      <c r="V61" s="20"/>
      <c r="W61" s="20"/>
      <c r="X61" s="20"/>
      <c r="Y61" s="20"/>
      <c r="Z61" s="20"/>
      <c r="AA61" s="153">
        <v>744.64207401748854</v>
      </c>
      <c r="AB61" s="130" t="s">
        <v>204</v>
      </c>
      <c r="AC61" s="170"/>
      <c r="AD61" s="174">
        <v>19</v>
      </c>
      <c r="AE61" s="174"/>
      <c r="AF61" s="21"/>
      <c r="AG61" s="19"/>
      <c r="AH61" s="21"/>
      <c r="AI61" s="19"/>
      <c r="AJ61" s="21"/>
      <c r="AK61" s="22">
        <f t="shared" si="11"/>
        <v>141.48199406332282</v>
      </c>
      <c r="AL61" s="30"/>
      <c r="AM61" s="20"/>
      <c r="AN61" s="20"/>
      <c r="AO61" s="20"/>
      <c r="AP61" s="20"/>
      <c r="AQ61" s="20"/>
      <c r="AR61" s="20"/>
      <c r="AS61" s="20"/>
      <c r="AT61" s="21">
        <f>AA61*AD61/100</f>
        <v>141.48199406332282</v>
      </c>
    </row>
    <row r="62" spans="1:46" ht="15" customHeight="1" x14ac:dyDescent="0.2">
      <c r="A62" s="19"/>
      <c r="B62" s="20"/>
      <c r="C62" s="20"/>
      <c r="D62" s="20"/>
      <c r="E62" s="20"/>
      <c r="F62" s="153">
        <f>AA62-S62</f>
        <v>185.03025259603803</v>
      </c>
      <c r="G62" s="172"/>
      <c r="H62" s="172"/>
      <c r="I62" s="172"/>
      <c r="J62" s="172"/>
      <c r="K62" s="172"/>
      <c r="L62" s="172"/>
      <c r="M62" s="172"/>
      <c r="N62" s="172"/>
      <c r="O62" s="172"/>
      <c r="P62" s="172"/>
      <c r="Q62" s="172"/>
      <c r="R62" s="172"/>
      <c r="S62" s="153">
        <f>AA62*0%</f>
        <v>0</v>
      </c>
      <c r="T62" s="174"/>
      <c r="U62" s="20"/>
      <c r="V62" s="20"/>
      <c r="W62" s="20"/>
      <c r="X62" s="20"/>
      <c r="Y62" s="20"/>
      <c r="Z62" s="20"/>
      <c r="AA62" s="153">
        <v>185.03025259603803</v>
      </c>
      <c r="AB62" s="130" t="s">
        <v>205</v>
      </c>
      <c r="AC62" s="170"/>
      <c r="AD62" s="174">
        <v>24.3</v>
      </c>
      <c r="AE62" s="174"/>
      <c r="AF62" s="21"/>
      <c r="AG62" s="19"/>
      <c r="AH62" s="21"/>
      <c r="AI62" s="19"/>
      <c r="AJ62" s="21"/>
      <c r="AK62" s="22">
        <f t="shared" ref="AK62:AK80" si="12">SUM(AL62:AT62)</f>
        <v>44.962351380837248</v>
      </c>
      <c r="AL62" s="30"/>
      <c r="AM62" s="20"/>
      <c r="AN62" s="20"/>
      <c r="AO62" s="20"/>
      <c r="AP62" s="20"/>
      <c r="AQ62" s="20"/>
      <c r="AR62" s="20"/>
      <c r="AS62" s="20"/>
      <c r="AT62" s="21">
        <f>AA62*AD62/100</f>
        <v>44.962351380837248</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f t="shared" ref="AA63:AA66" si="13">SUM(A63:Z63)</f>
        <v>0</v>
      </c>
      <c r="AB63" s="128" t="s">
        <v>649</v>
      </c>
      <c r="AC63" s="170"/>
      <c r="AD63" s="174">
        <v>22.6</v>
      </c>
      <c r="AE63" s="174"/>
      <c r="AF63" s="21"/>
      <c r="AG63" s="19"/>
      <c r="AH63" s="21"/>
      <c r="AI63" s="19"/>
      <c r="AJ63" s="21"/>
      <c r="AK63" s="22">
        <f t="shared" si="12"/>
        <v>0</v>
      </c>
      <c r="AL63" s="30"/>
      <c r="AM63" s="20"/>
      <c r="AN63" s="20"/>
      <c r="AO63" s="20"/>
      <c r="AP63" s="20"/>
      <c r="AQ63" s="20"/>
      <c r="AR63" s="20"/>
      <c r="AS63" s="20"/>
      <c r="AT63" s="21">
        <f>AA63*AD63/100</f>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f t="shared" si="13"/>
        <v>0</v>
      </c>
      <c r="AB64" s="129" t="s">
        <v>650</v>
      </c>
      <c r="AC64" s="170">
        <v>67.7</v>
      </c>
      <c r="AD64" s="174"/>
      <c r="AE64" s="174"/>
      <c r="AF64" s="21"/>
      <c r="AG64" s="19">
        <f t="shared" ref="AG64:AG65" si="14">-AH64/$D$2%</f>
        <v>0</v>
      </c>
      <c r="AH64" s="153">
        <v>0</v>
      </c>
      <c r="AI64" s="19"/>
      <c r="AJ64" s="21"/>
      <c r="AK64" s="22">
        <f t="shared" ref="AK64" si="15">SUM(AL64:AT64)</f>
        <v>0</v>
      </c>
      <c r="AL64" s="30"/>
      <c r="AM64" s="20"/>
      <c r="AN64" s="20"/>
      <c r="AO64" s="20"/>
      <c r="AP64" s="20"/>
      <c r="AQ64" s="20"/>
      <c r="AR64" s="20"/>
      <c r="AS64" s="20"/>
      <c r="AT64" s="21">
        <f>AH64*AC64%</f>
        <v>0</v>
      </c>
    </row>
    <row r="65" spans="1:46" ht="15" customHeight="1" x14ac:dyDescent="0.2">
      <c r="A65" s="19"/>
      <c r="B65" s="20"/>
      <c r="C65" s="20"/>
      <c r="D65" s="20"/>
      <c r="E65" s="20"/>
      <c r="F65" s="153"/>
      <c r="G65" s="172"/>
      <c r="H65" s="172">
        <f>AA65-S65</f>
        <v>0</v>
      </c>
      <c r="I65" s="172"/>
      <c r="J65" s="172"/>
      <c r="K65" s="172"/>
      <c r="L65" s="172"/>
      <c r="M65" s="172"/>
      <c r="N65" s="172"/>
      <c r="O65" s="172"/>
      <c r="P65" s="172"/>
      <c r="Q65" s="172"/>
      <c r="R65" s="172"/>
      <c r="S65" s="153">
        <f>AA65*0%</f>
        <v>0</v>
      </c>
      <c r="T65" s="174"/>
      <c r="U65" s="20"/>
      <c r="V65" s="20"/>
      <c r="W65" s="20"/>
      <c r="X65" s="20"/>
      <c r="Y65" s="20"/>
      <c r="Z65" s="20"/>
      <c r="AA65" s="153">
        <v>0</v>
      </c>
      <c r="AB65" s="130" t="s">
        <v>645</v>
      </c>
      <c r="AC65" s="170">
        <f>AC64</f>
        <v>67.7</v>
      </c>
      <c r="AD65" s="174">
        <v>19</v>
      </c>
      <c r="AE65" s="174"/>
      <c r="AF65" s="21"/>
      <c r="AG65" s="19">
        <f t="shared" si="14"/>
        <v>0</v>
      </c>
      <c r="AH65" s="153">
        <f>AA65*AD65%/AC65%</f>
        <v>0</v>
      </c>
      <c r="AI65" s="19"/>
      <c r="AJ65" s="21"/>
      <c r="AK65" s="22">
        <f t="shared" si="12"/>
        <v>0</v>
      </c>
      <c r="AL65" s="30"/>
      <c r="AM65" s="20"/>
      <c r="AN65" s="20"/>
      <c r="AO65" s="20"/>
      <c r="AP65" s="20"/>
      <c r="AQ65" s="20"/>
      <c r="AR65" s="20"/>
      <c r="AS65" s="20"/>
      <c r="AT65" s="21">
        <f>AH65*AC65%+AA65*AD65%</f>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f t="shared" si="13"/>
        <v>0</v>
      </c>
      <c r="AB66" s="128" t="s">
        <v>644</v>
      </c>
      <c r="AC66" s="170"/>
      <c r="AD66" s="174">
        <v>36.4</v>
      </c>
      <c r="AE66" s="174"/>
      <c r="AF66" s="21"/>
      <c r="AG66" s="19"/>
      <c r="AH66" s="21"/>
      <c r="AI66" s="19"/>
      <c r="AJ66" s="21"/>
      <c r="AK66" s="22">
        <f t="shared" si="12"/>
        <v>0</v>
      </c>
      <c r="AL66" s="30"/>
      <c r="AM66" s="20"/>
      <c r="AN66" s="20"/>
      <c r="AO66" s="20"/>
      <c r="AP66" s="20"/>
      <c r="AQ66" s="20"/>
      <c r="AR66" s="20"/>
      <c r="AS66" s="20"/>
      <c r="AT66" s="21">
        <f>AA66*AD66%</f>
        <v>0</v>
      </c>
    </row>
    <row r="67" spans="1:46" ht="15" customHeight="1" x14ac:dyDescent="0.2">
      <c r="A67" s="19"/>
      <c r="B67" s="20"/>
      <c r="C67" s="20"/>
      <c r="D67" s="20"/>
      <c r="E67" s="20"/>
      <c r="F67" s="153">
        <f>AA67-S67</f>
        <v>30.009062587984339</v>
      </c>
      <c r="G67" s="172"/>
      <c r="H67" s="172"/>
      <c r="I67" s="172"/>
      <c r="J67" s="172"/>
      <c r="K67" s="172"/>
      <c r="L67" s="172"/>
      <c r="M67" s="172"/>
      <c r="N67" s="172"/>
      <c r="O67" s="172"/>
      <c r="P67" s="172"/>
      <c r="Q67" s="172"/>
      <c r="R67" s="172"/>
      <c r="S67" s="153">
        <f>AA67*0%</f>
        <v>0</v>
      </c>
      <c r="T67" s="174"/>
      <c r="U67" s="20"/>
      <c r="V67" s="20"/>
      <c r="W67" s="20"/>
      <c r="X67" s="20"/>
      <c r="Y67" s="20"/>
      <c r="Z67" s="20"/>
      <c r="AA67" s="153">
        <v>30.009062587984339</v>
      </c>
      <c r="AB67" s="131" t="s">
        <v>206</v>
      </c>
      <c r="AC67" s="170"/>
      <c r="AD67" s="174">
        <v>29.6</v>
      </c>
      <c r="AE67" s="174"/>
      <c r="AF67" s="21"/>
      <c r="AG67" s="19">
        <f>-AH67/$D$2%</f>
        <v>0</v>
      </c>
      <c r="AH67" s="21"/>
      <c r="AI67" s="19"/>
      <c r="AJ67" s="21"/>
      <c r="AK67" s="22">
        <f t="shared" si="12"/>
        <v>8.8826825260433662</v>
      </c>
      <c r="AL67" s="30"/>
      <c r="AM67" s="20"/>
      <c r="AN67" s="20"/>
      <c r="AO67" s="20"/>
      <c r="AP67" s="20"/>
      <c r="AQ67" s="20"/>
      <c r="AR67" s="20"/>
      <c r="AS67" s="20"/>
      <c r="AT67" s="21">
        <f>AA67*AD67%</f>
        <v>8.8826825260433662</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f t="shared" ref="AA68:AA70" si="16">SUM(A68:Z68)</f>
        <v>0</v>
      </c>
      <c r="AB68" s="676" t="s">
        <v>640</v>
      </c>
      <c r="AC68" s="170"/>
      <c r="AD68" s="174">
        <v>26.1</v>
      </c>
      <c r="AE68" s="174"/>
      <c r="AF68" s="21"/>
      <c r="AG68" s="19"/>
      <c r="AH68" s="21"/>
      <c r="AI68" s="19"/>
      <c r="AJ68" s="21"/>
      <c r="AK68" s="22">
        <f t="shared" si="12"/>
        <v>0</v>
      </c>
      <c r="AL68" s="30"/>
      <c r="AM68" s="20"/>
      <c r="AN68" s="20"/>
      <c r="AO68" s="20"/>
      <c r="AP68" s="20"/>
      <c r="AQ68" s="20"/>
      <c r="AR68" s="20"/>
      <c r="AS68" s="20"/>
      <c r="AT68" s="21">
        <f>AA68*AD68%</f>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f t="shared" si="16"/>
        <v>0</v>
      </c>
      <c r="AB69" s="676" t="s">
        <v>641</v>
      </c>
      <c r="AC69" s="170"/>
      <c r="AD69" s="174">
        <v>36.4</v>
      </c>
      <c r="AE69" s="174"/>
      <c r="AF69" s="21"/>
      <c r="AG69" s="19"/>
      <c r="AH69" s="21"/>
      <c r="AI69" s="19"/>
      <c r="AJ69" s="21"/>
      <c r="AK69" s="22">
        <f t="shared" si="12"/>
        <v>0</v>
      </c>
      <c r="AL69" s="30"/>
      <c r="AM69" s="20"/>
      <c r="AN69" s="20"/>
      <c r="AO69" s="20"/>
      <c r="AP69" s="20"/>
      <c r="AQ69" s="20"/>
      <c r="AR69" s="20"/>
      <c r="AS69" s="20"/>
      <c r="AT69" s="21">
        <f t="shared" ref="AT69" si="17">AA69*AD69%</f>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f t="shared" si="16"/>
        <v>0</v>
      </c>
      <c r="AB70" s="131" t="s">
        <v>651</v>
      </c>
      <c r="AC70" s="170">
        <v>67.7</v>
      </c>
      <c r="AD70" s="174"/>
      <c r="AE70" s="174"/>
      <c r="AF70" s="21"/>
      <c r="AG70" s="19">
        <f t="shared" ref="AG70" si="18">-AH70/$D$2%</f>
        <v>0</v>
      </c>
      <c r="AH70" s="153"/>
      <c r="AI70" s="19"/>
      <c r="AJ70" s="21"/>
      <c r="AK70" s="22">
        <f t="shared" ref="AK70:AK79" si="19">SUM(AL70:AT70)</f>
        <v>0</v>
      </c>
      <c r="AL70" s="30"/>
      <c r="AM70" s="20"/>
      <c r="AN70" s="20"/>
      <c r="AO70" s="20"/>
      <c r="AP70" s="20"/>
      <c r="AQ70" s="20"/>
      <c r="AR70" s="20"/>
      <c r="AS70" s="20"/>
      <c r="AT70" s="21">
        <f>AH70*AC70%</f>
        <v>0</v>
      </c>
    </row>
    <row r="71" spans="1:46" ht="15" customHeight="1" x14ac:dyDescent="0.2">
      <c r="A71" s="19"/>
      <c r="B71" s="20"/>
      <c r="C71" s="20"/>
      <c r="D71" s="20"/>
      <c r="E71" s="20"/>
      <c r="F71" s="153">
        <f>AA71-S71</f>
        <v>269.55201277295214</v>
      </c>
      <c r="G71" s="172"/>
      <c r="H71" s="172"/>
      <c r="I71" s="172"/>
      <c r="J71" s="172"/>
      <c r="K71" s="172"/>
      <c r="L71" s="172"/>
      <c r="M71" s="172"/>
      <c r="N71" s="172"/>
      <c r="O71" s="172"/>
      <c r="P71" s="172"/>
      <c r="Q71" s="172"/>
      <c r="R71" s="172"/>
      <c r="S71" s="153">
        <f>AA71*0%</f>
        <v>0</v>
      </c>
      <c r="T71" s="174"/>
      <c r="U71" s="20"/>
      <c r="V71" s="20"/>
      <c r="W71" s="20"/>
      <c r="X71" s="20"/>
      <c r="Y71" s="20"/>
      <c r="Z71" s="20"/>
      <c r="AA71" s="697">
        <v>269.55201277295214</v>
      </c>
      <c r="AB71" s="131" t="s">
        <v>207</v>
      </c>
      <c r="AC71" s="170"/>
      <c r="AD71" s="174">
        <v>36.5</v>
      </c>
      <c r="AE71" s="174"/>
      <c r="AF71" s="21"/>
      <c r="AG71" s="19"/>
      <c r="AH71" s="169"/>
      <c r="AI71" s="19"/>
      <c r="AJ71" s="21"/>
      <c r="AK71" s="22">
        <f t="shared" si="19"/>
        <v>98.386484662127529</v>
      </c>
      <c r="AL71" s="30"/>
      <c r="AM71" s="20"/>
      <c r="AN71" s="20"/>
      <c r="AO71" s="20"/>
      <c r="AP71" s="20"/>
      <c r="AQ71" s="20"/>
      <c r="AR71" s="20"/>
      <c r="AS71" s="20"/>
      <c r="AT71" s="21">
        <f>AA71*AD71%</f>
        <v>98.386484662127529</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f t="shared" ref="AA72:AA74" si="20">SUM(A72:Z72)</f>
        <v>0</v>
      </c>
      <c r="AB72" s="676" t="s">
        <v>642</v>
      </c>
      <c r="AC72" s="170"/>
      <c r="AD72" s="174">
        <v>32.200000000000003</v>
      </c>
      <c r="AE72" s="174"/>
      <c r="AF72" s="21"/>
      <c r="AG72" s="19"/>
      <c r="AH72" s="169"/>
      <c r="AI72" s="19"/>
      <c r="AJ72" s="21"/>
      <c r="AK72" s="22">
        <f t="shared" si="19"/>
        <v>0</v>
      </c>
      <c r="AL72" s="30"/>
      <c r="AM72" s="20"/>
      <c r="AN72" s="20"/>
      <c r="AO72" s="20"/>
      <c r="AP72" s="20"/>
      <c r="AQ72" s="20"/>
      <c r="AR72" s="20"/>
      <c r="AS72" s="20"/>
      <c r="AT72" s="21">
        <f>AA72*AD72%</f>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f t="shared" si="20"/>
        <v>0</v>
      </c>
      <c r="AB73" s="676" t="s">
        <v>643</v>
      </c>
      <c r="AC73" s="170"/>
      <c r="AD73" s="174">
        <v>36.4</v>
      </c>
      <c r="AE73" s="174"/>
      <c r="AF73" s="21"/>
      <c r="AG73" s="19"/>
      <c r="AH73" s="169"/>
      <c r="AI73" s="19"/>
      <c r="AJ73" s="21"/>
      <c r="AK73" s="22">
        <f t="shared" si="19"/>
        <v>0</v>
      </c>
      <c r="AL73" s="30"/>
      <c r="AM73" s="20"/>
      <c r="AN73" s="20"/>
      <c r="AO73" s="20"/>
      <c r="AP73" s="20"/>
      <c r="AQ73" s="20"/>
      <c r="AR73" s="20"/>
      <c r="AS73" s="20"/>
      <c r="AT73" s="21">
        <f t="shared" ref="AT73" si="21">AA73*AD73%</f>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f t="shared" si="20"/>
        <v>0</v>
      </c>
      <c r="AB74" s="131" t="s">
        <v>652</v>
      </c>
      <c r="AC74" s="170">
        <f>AC70</f>
        <v>67.7</v>
      </c>
      <c r="AD74" s="174"/>
      <c r="AE74" s="174"/>
      <c r="AF74" s="21"/>
      <c r="AG74" s="19">
        <f t="shared" ref="AG74" si="22">-AH74/$D$2%</f>
        <v>0</v>
      </c>
      <c r="AH74" s="153"/>
      <c r="AI74" s="19"/>
      <c r="AJ74" s="21"/>
      <c r="AK74" s="22">
        <f t="shared" si="19"/>
        <v>0</v>
      </c>
      <c r="AL74" s="30"/>
      <c r="AM74" s="20"/>
      <c r="AN74" s="20"/>
      <c r="AO74" s="20"/>
      <c r="AP74" s="20"/>
      <c r="AQ74" s="20"/>
      <c r="AR74" s="20"/>
      <c r="AS74" s="20"/>
      <c r="AT74" s="21">
        <f>AH74*AC74%</f>
        <v>0</v>
      </c>
    </row>
    <row r="75" spans="1:46" ht="15" customHeight="1" x14ac:dyDescent="0.2">
      <c r="A75" s="19"/>
      <c r="B75" s="20"/>
      <c r="C75" s="20"/>
      <c r="D75" s="20"/>
      <c r="E75" s="20"/>
      <c r="F75" s="153">
        <v>218.42</v>
      </c>
      <c r="G75" s="2"/>
      <c r="H75" s="2"/>
      <c r="I75" s="2"/>
      <c r="J75" s="2"/>
      <c r="K75" s="2"/>
      <c r="L75" s="2"/>
      <c r="M75" s="2"/>
      <c r="N75" s="2"/>
      <c r="O75" s="2"/>
      <c r="P75" s="2"/>
      <c r="Q75" s="2"/>
      <c r="R75" s="2"/>
      <c r="S75" s="153"/>
      <c r="T75" s="20"/>
      <c r="U75" s="20"/>
      <c r="V75" s="20"/>
      <c r="W75" s="20"/>
      <c r="X75" s="20"/>
      <c r="Y75" s="20"/>
      <c r="Z75" s="20"/>
      <c r="AA75" s="29">
        <f t="shared" si="0"/>
        <v>218.42</v>
      </c>
      <c r="AB75" s="131" t="s">
        <v>208</v>
      </c>
      <c r="AC75" s="19"/>
      <c r="AD75" s="20">
        <v>36.5</v>
      </c>
      <c r="AE75" s="20"/>
      <c r="AF75" s="21"/>
      <c r="AG75" s="19"/>
      <c r="AH75" s="21"/>
      <c r="AI75" s="19"/>
      <c r="AJ75" s="21"/>
      <c r="AK75" s="22">
        <f t="shared" si="19"/>
        <v>79.723299999999995</v>
      </c>
      <c r="AL75" s="30"/>
      <c r="AM75" s="20"/>
      <c r="AN75" s="20"/>
      <c r="AO75" s="20"/>
      <c r="AP75" s="20"/>
      <c r="AQ75" s="20"/>
      <c r="AR75" s="20"/>
      <c r="AS75" s="20">
        <f>AA75*AD75%</f>
        <v>79.723299999999995</v>
      </c>
      <c r="AT75" s="21"/>
    </row>
    <row r="76" spans="1:46" ht="15" customHeight="1" x14ac:dyDescent="0.2">
      <c r="A76" s="19"/>
      <c r="B76" s="20"/>
      <c r="C76" s="20"/>
      <c r="D76" s="20"/>
      <c r="E76" s="20"/>
      <c r="F76" s="153">
        <f>AA76-S76</f>
        <v>0</v>
      </c>
      <c r="G76" s="2"/>
      <c r="H76" s="2"/>
      <c r="I76" s="2"/>
      <c r="J76" s="2"/>
      <c r="K76" s="2"/>
      <c r="L76" s="2"/>
      <c r="M76" s="2"/>
      <c r="N76" s="2"/>
      <c r="O76" s="2"/>
      <c r="P76" s="2"/>
      <c r="Q76" s="2"/>
      <c r="R76" s="2"/>
      <c r="S76" s="172">
        <f>AA76*0</f>
        <v>0</v>
      </c>
      <c r="T76" s="20"/>
      <c r="U76" s="20"/>
      <c r="V76" s="20"/>
      <c r="W76" s="20"/>
      <c r="X76" s="20"/>
      <c r="Y76" s="20"/>
      <c r="Z76" s="20"/>
      <c r="AA76" s="25"/>
      <c r="AB76" s="676" t="s">
        <v>671</v>
      </c>
      <c r="AC76" s="170"/>
      <c r="AD76" s="174">
        <v>12</v>
      </c>
      <c r="AE76" s="20"/>
      <c r="AF76" s="21"/>
      <c r="AG76" s="19"/>
      <c r="AH76" s="21"/>
      <c r="AI76" s="19"/>
      <c r="AJ76" s="21"/>
      <c r="AK76" s="22">
        <f t="shared" si="19"/>
        <v>0</v>
      </c>
      <c r="AL76" s="30"/>
      <c r="AM76" s="20"/>
      <c r="AN76" s="20"/>
      <c r="AO76" s="20"/>
      <c r="AP76" s="20"/>
      <c r="AQ76" s="20"/>
      <c r="AR76" s="20"/>
      <c r="AS76" s="20"/>
      <c r="AT76" s="21">
        <f>AA76*AD76%</f>
        <v>0</v>
      </c>
    </row>
    <row r="77" spans="1:46" ht="15" customHeight="1" x14ac:dyDescent="0.2">
      <c r="A77" s="19"/>
      <c r="B77" s="20"/>
      <c r="C77" s="20"/>
      <c r="D77" s="20"/>
      <c r="E77" s="20"/>
      <c r="F77" s="153">
        <f>AA77-S77</f>
        <v>37.270000000000003</v>
      </c>
      <c r="G77" s="172"/>
      <c r="H77" s="172"/>
      <c r="I77" s="172"/>
      <c r="J77" s="2"/>
      <c r="K77" s="2"/>
      <c r="L77" s="2"/>
      <c r="M77" s="172"/>
      <c r="N77" s="172"/>
      <c r="O77" s="172"/>
      <c r="P77" s="172"/>
      <c r="Q77" s="172"/>
      <c r="R77" s="172"/>
      <c r="S77" s="172">
        <f>AA77*0</f>
        <v>0</v>
      </c>
      <c r="T77" s="20"/>
      <c r="U77" s="20"/>
      <c r="V77" s="20"/>
      <c r="W77" s="20"/>
      <c r="X77" s="20"/>
      <c r="Y77" s="20"/>
      <c r="Z77" s="20"/>
      <c r="AA77" s="25">
        <v>37.270000000000003</v>
      </c>
      <c r="AB77" s="676" t="s">
        <v>672</v>
      </c>
      <c r="AC77" s="170"/>
      <c r="AD77" s="174">
        <v>25</v>
      </c>
      <c r="AE77" s="20"/>
      <c r="AF77" s="21"/>
      <c r="AG77" s="19"/>
      <c r="AH77" s="21"/>
      <c r="AI77" s="19"/>
      <c r="AJ77" s="21"/>
      <c r="AK77" s="22">
        <f t="shared" si="19"/>
        <v>9.3175000000000008</v>
      </c>
      <c r="AL77" s="30"/>
      <c r="AM77" s="20"/>
      <c r="AN77" s="20"/>
      <c r="AO77" s="20"/>
      <c r="AP77" s="20"/>
      <c r="AQ77" s="20"/>
      <c r="AR77" s="20"/>
      <c r="AS77" s="20"/>
      <c r="AT77" s="21">
        <f>AA77*AD77%</f>
        <v>9.3175000000000008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f>SUM(A78:Z78)</f>
        <v>0</v>
      </c>
      <c r="AB78" s="676" t="s">
        <v>673</v>
      </c>
      <c r="AC78" s="687">
        <v>67</v>
      </c>
      <c r="AD78" s="174"/>
      <c r="AE78" s="39"/>
      <c r="AF78" s="41"/>
      <c r="AG78" s="19">
        <f t="shared" ref="AG78" si="23">-AH78/$D$2%</f>
        <v>0</v>
      </c>
      <c r="AH78" s="701">
        <v>0</v>
      </c>
      <c r="AI78" s="38"/>
      <c r="AJ78" s="41"/>
      <c r="AK78" s="22">
        <f t="shared" si="19"/>
        <v>0</v>
      </c>
      <c r="AL78" s="42"/>
      <c r="AM78" s="39"/>
      <c r="AN78" s="39"/>
      <c r="AO78" s="39"/>
      <c r="AP78" s="39"/>
      <c r="AQ78" s="39"/>
      <c r="AR78" s="39"/>
      <c r="AS78" s="39"/>
      <c r="AT78" s="21">
        <f>AC78*AH78%</f>
        <v>0</v>
      </c>
    </row>
    <row r="79" spans="1:46" ht="15" customHeight="1" x14ac:dyDescent="0.2">
      <c r="A79" s="38"/>
      <c r="B79" s="39"/>
      <c r="C79" s="39"/>
      <c r="D79" s="184"/>
      <c r="E79" s="184"/>
      <c r="F79" s="184"/>
      <c r="G79" s="154">
        <v>267.94</v>
      </c>
      <c r="H79" s="153">
        <v>1.44</v>
      </c>
      <c r="I79" s="184"/>
      <c r="J79" s="40"/>
      <c r="K79" s="40"/>
      <c r="L79" s="40"/>
      <c r="M79" s="184"/>
      <c r="N79" s="39"/>
      <c r="O79" s="39"/>
      <c r="P79" s="39"/>
      <c r="Q79" s="39"/>
      <c r="R79" s="39"/>
      <c r="S79" s="39"/>
      <c r="T79" s="39"/>
      <c r="U79" s="39"/>
      <c r="V79" s="39"/>
      <c r="W79" s="39"/>
      <c r="X79" s="39"/>
      <c r="Y79" s="39"/>
      <c r="Z79" s="39"/>
      <c r="AA79" s="21">
        <f>SUM(A79:Z79)</f>
        <v>269.38</v>
      </c>
      <c r="AB79" s="131" t="s">
        <v>9</v>
      </c>
      <c r="AC79" s="38"/>
      <c r="AD79" s="20">
        <v>13.5</v>
      </c>
      <c r="AE79" s="39"/>
      <c r="AF79" s="41"/>
      <c r="AG79" s="38"/>
      <c r="AH79" s="41"/>
      <c r="AI79" s="38"/>
      <c r="AJ79" s="41"/>
      <c r="AK79" s="22">
        <f t="shared" si="19"/>
        <v>36.366300000000003</v>
      </c>
      <c r="AL79" s="42"/>
      <c r="AM79" s="39"/>
      <c r="AN79" s="39"/>
      <c r="AO79" s="39"/>
      <c r="AP79" s="39"/>
      <c r="AQ79" s="39"/>
      <c r="AR79" s="39"/>
      <c r="AS79" s="39"/>
      <c r="AT79" s="21">
        <f>AD79*AA79%</f>
        <v>36.366300000000003</v>
      </c>
    </row>
    <row r="80" spans="1:46" ht="15" customHeight="1" thickBot="1" x14ac:dyDescent="0.25">
      <c r="A80" s="38"/>
      <c r="B80" s="39"/>
      <c r="C80" s="39"/>
      <c r="D80" s="154">
        <v>33.090000000000003</v>
      </c>
      <c r="E80" s="184"/>
      <c r="F80" s="154">
        <v>25.86</v>
      </c>
      <c r="G80" s="184"/>
      <c r="H80" s="184"/>
      <c r="I80" s="184"/>
      <c r="J80" s="40"/>
      <c r="K80" s="40"/>
      <c r="L80" s="40"/>
      <c r="M80" s="184"/>
      <c r="N80" s="39"/>
      <c r="O80" s="39"/>
      <c r="P80" s="39"/>
      <c r="Q80" s="39"/>
      <c r="R80" s="39"/>
      <c r="S80" s="39"/>
      <c r="T80" s="39"/>
      <c r="U80" s="39"/>
      <c r="V80" s="39"/>
      <c r="W80" s="39"/>
      <c r="X80" s="39"/>
      <c r="Y80" s="39"/>
      <c r="Z80" s="39"/>
      <c r="AA80" s="41">
        <f t="shared" si="0"/>
        <v>58.95</v>
      </c>
      <c r="AB80" s="132" t="s">
        <v>5</v>
      </c>
      <c r="AC80" s="43"/>
      <c r="AD80" s="20">
        <v>20</v>
      </c>
      <c r="AE80" s="44"/>
      <c r="AF80" s="45"/>
      <c r="AG80" s="43"/>
      <c r="AH80" s="45"/>
      <c r="AI80" s="43"/>
      <c r="AJ80" s="45"/>
      <c r="AK80" s="46">
        <f t="shared" si="12"/>
        <v>11.790000000000001</v>
      </c>
      <c r="AL80" s="47"/>
      <c r="AM80" s="44"/>
      <c r="AN80" s="44"/>
      <c r="AO80" s="44"/>
      <c r="AP80" s="44"/>
      <c r="AQ80" s="44"/>
      <c r="AR80" s="44"/>
      <c r="AS80" s="44"/>
      <c r="AT80" s="21">
        <f>AA80*AD80%</f>
        <v>11.790000000000001</v>
      </c>
    </row>
    <row r="81" spans="1:47" ht="15" customHeight="1" thickBot="1" x14ac:dyDescent="0.25">
      <c r="A81" s="48">
        <f t="shared" ref="A81:AA81" si="24">SUM(A8:A80)</f>
        <v>708.91875270154026</v>
      </c>
      <c r="B81" s="49">
        <f t="shared" si="24"/>
        <v>86.88</v>
      </c>
      <c r="C81" s="49">
        <f t="shared" si="24"/>
        <v>263.39999999999998</v>
      </c>
      <c r="D81" s="49">
        <f t="shared" si="24"/>
        <v>216.3</v>
      </c>
      <c r="E81" s="49">
        <f t="shared" si="24"/>
        <v>2470.3199999999997</v>
      </c>
      <c r="F81" s="49">
        <f t="shared" si="24"/>
        <v>766.14132795697446</v>
      </c>
      <c r="G81" s="49">
        <f t="shared" si="24"/>
        <v>267.94</v>
      </c>
      <c r="H81" s="49">
        <f t="shared" si="24"/>
        <v>746.08207401748859</v>
      </c>
      <c r="I81" s="49">
        <f t="shared" si="24"/>
        <v>676.66</v>
      </c>
      <c r="J81" s="49">
        <f t="shared" si="24"/>
        <v>0</v>
      </c>
      <c r="K81" s="49">
        <f t="shared" si="24"/>
        <v>0</v>
      </c>
      <c r="L81" s="49">
        <f t="shared" si="24"/>
        <v>0</v>
      </c>
      <c r="M81" s="49">
        <f t="shared" si="24"/>
        <v>92.06</v>
      </c>
      <c r="N81" s="49">
        <f t="shared" si="24"/>
        <v>0</v>
      </c>
      <c r="O81" s="49">
        <f t="shared" si="24"/>
        <v>1.1000000000000001</v>
      </c>
      <c r="P81" s="49">
        <f t="shared" si="24"/>
        <v>0</v>
      </c>
      <c r="Q81" s="49">
        <f t="shared" si="24"/>
        <v>0</v>
      </c>
      <c r="R81" s="49">
        <f t="shared" si="24"/>
        <v>0</v>
      </c>
      <c r="S81" s="49">
        <f t="shared" si="24"/>
        <v>0</v>
      </c>
      <c r="T81" s="49">
        <f t="shared" si="24"/>
        <v>277.78999999999996</v>
      </c>
      <c r="U81" s="49">
        <f t="shared" si="24"/>
        <v>265.76</v>
      </c>
      <c r="V81" s="49">
        <f t="shared" si="24"/>
        <v>142.91</v>
      </c>
      <c r="W81" s="49">
        <f t="shared" si="24"/>
        <v>0</v>
      </c>
      <c r="X81" s="49">
        <f t="shared" si="24"/>
        <v>27.39</v>
      </c>
      <c r="Y81" s="49">
        <f t="shared" si="24"/>
        <v>0</v>
      </c>
      <c r="Z81" s="49">
        <f t="shared" si="24"/>
        <v>22.41</v>
      </c>
      <c r="AA81" s="50">
        <f t="shared" si="24"/>
        <v>7032.062154676004</v>
      </c>
      <c r="AB81" s="51" t="s">
        <v>1</v>
      </c>
      <c r="AC81" s="52"/>
      <c r="AD81" s="52"/>
      <c r="AE81" s="52"/>
      <c r="AF81" s="52"/>
      <c r="AG81" s="48">
        <f t="shared" ref="AG81:AT81" si="25">SUM(AG8:AG80)</f>
        <v>4.8738790781044372E-14</v>
      </c>
      <c r="AH81" s="50">
        <f t="shared" si="25"/>
        <v>742.50730837789649</v>
      </c>
      <c r="AI81" s="48">
        <f t="shared" si="25"/>
        <v>0</v>
      </c>
      <c r="AJ81" s="50">
        <f t="shared" si="25"/>
        <v>448.429485</v>
      </c>
      <c r="AK81" s="51">
        <f t="shared" si="25"/>
        <v>4520.7054976323298</v>
      </c>
      <c r="AL81" s="53">
        <f t="shared" si="25"/>
        <v>2598.3986157650002</v>
      </c>
      <c r="AM81" s="49">
        <f t="shared" si="25"/>
        <v>101.90608953</v>
      </c>
      <c r="AN81" s="49">
        <f t="shared" si="25"/>
        <v>86.67269202</v>
      </c>
      <c r="AO81" s="49">
        <f t="shared" si="25"/>
        <v>92.510063950000003</v>
      </c>
      <c r="AP81" s="49">
        <f t="shared" si="25"/>
        <v>6.1899999999999995</v>
      </c>
      <c r="AQ81" s="49">
        <f t="shared" si="25"/>
        <v>1092.3281014599997</v>
      </c>
      <c r="AR81" s="49">
        <f t="shared" si="25"/>
        <v>10.026442275000001</v>
      </c>
      <c r="AS81" s="49">
        <f t="shared" si="25"/>
        <v>174.74329999999998</v>
      </c>
      <c r="AT81" s="50">
        <f t="shared" si="25"/>
        <v>357.930192632331</v>
      </c>
    </row>
    <row r="82" spans="1:47" ht="15" customHeight="1" x14ac:dyDescent="0.25">
      <c r="A82" s="26">
        <f t="shared" ref="A82:Y82" si="26">A81*A89/1000</f>
        <v>168.72266314296658</v>
      </c>
      <c r="B82" s="28">
        <f t="shared" si="26"/>
        <v>5.6298239999999993</v>
      </c>
      <c r="C82" s="28">
        <f t="shared" si="26"/>
        <v>24.812279999999998</v>
      </c>
      <c r="D82" s="28">
        <f t="shared" si="26"/>
        <v>17.094189000000004</v>
      </c>
      <c r="E82" s="28">
        <f t="shared" si="26"/>
        <v>183.05071199999998</v>
      </c>
      <c r="F82" s="28">
        <f t="shared" si="26"/>
        <v>56.771072401611804</v>
      </c>
      <c r="G82" s="28">
        <f t="shared" si="26"/>
        <v>19.291679999999999</v>
      </c>
      <c r="H82" s="28">
        <f t="shared" si="26"/>
        <v>54.463991403276665</v>
      </c>
      <c r="I82" s="28">
        <f t="shared" si="26"/>
        <v>38.501953999999998</v>
      </c>
      <c r="J82" s="27"/>
      <c r="K82" s="27"/>
      <c r="L82" s="27"/>
      <c r="M82" s="28">
        <f t="shared" si="26"/>
        <v>0</v>
      </c>
      <c r="N82" s="28">
        <f t="shared" si="26"/>
        <v>0</v>
      </c>
      <c r="O82" s="28">
        <f t="shared" si="26"/>
        <v>0</v>
      </c>
      <c r="P82" s="28">
        <f t="shared" si="26"/>
        <v>0</v>
      </c>
      <c r="Q82" s="28">
        <v>0</v>
      </c>
      <c r="R82" s="28">
        <f t="shared" si="26"/>
        <v>0</v>
      </c>
      <c r="S82" s="28">
        <f t="shared" si="26"/>
        <v>0</v>
      </c>
      <c r="T82" s="28">
        <f t="shared" si="26"/>
        <v>0</v>
      </c>
      <c r="U82" s="28">
        <f t="shared" si="26"/>
        <v>0</v>
      </c>
      <c r="V82" s="28">
        <f t="shared" si="26"/>
        <v>0</v>
      </c>
      <c r="W82" s="28">
        <f t="shared" si="26"/>
        <v>0</v>
      </c>
      <c r="X82" s="28">
        <f t="shared" si="26"/>
        <v>0</v>
      </c>
      <c r="Y82" s="28">
        <f t="shared" si="26"/>
        <v>0</v>
      </c>
      <c r="Z82" s="28">
        <f>Z81*Z89/1000</f>
        <v>1.8425501999999998</v>
      </c>
      <c r="AA82" s="29">
        <f>SUM(A82:Z82)</f>
        <v>570.18091614785499</v>
      </c>
      <c r="AB82" s="54" t="s">
        <v>30</v>
      </c>
      <c r="AC82" s="55">
        <f>AA82*1000/D1</f>
        <v>11.945714863460958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486.23102905335583</v>
      </c>
      <c r="S83" s="153">
        <v>772</v>
      </c>
      <c r="T83" s="153">
        <v>515.99761191656501</v>
      </c>
      <c r="U83" s="153">
        <v>364.37178342551363</v>
      </c>
      <c r="V83" s="20"/>
      <c r="W83" s="20"/>
      <c r="X83" s="20"/>
      <c r="Y83" s="20"/>
      <c r="Z83" s="20"/>
      <c r="AA83" s="21">
        <f>SUM(A83:Z83)</f>
        <v>2138.6004243954344</v>
      </c>
      <c r="AB83" s="22" t="s">
        <v>653</v>
      </c>
      <c r="AC83" s="677">
        <f>(SUM(M11:Y11)+AG12*A87%+SUM(M16:Y16)+SUM(M17:Y17)+SUM(M18:Y18)+SUM(M19:Y19)+SUM(M22:Y22)+SUM(M61:Y61)+SUM(M62:Y62)+SUM(M63:Y63)+SUM(M65:Y65)+SUM(M66:Y66)+SUM(M67:Y67)+SUM(M68:Y68)+SUM(M69:Y69)+SUM(M71:Y71)+SUM(M72:Y72)+SUM(M73:Y73)+SUM(M75:Y75)+SUM(M76:Y76)+SUM(M77:Y77)+SUM(M79:Y79)+SUM(M80:Y80)+SUM(M23:Y23)*(AC23%+AE23%)+SUM(M24:Y24)*(AC24%+AE24%)+SUM(M25:Y25)*(AC25%+AE25%)+SUM(M26:Y26)*(AC26%+AE26%)+SUM(M28:Y28)*(AC28%+AD28%+AE28%)+SUM(M27:Y27)*(AD27%)+SUM(M29:Y29)*(AC29%+AE29%)+SUM(M30:Y30)*(AC30%+AE30%)+SUM(M31:Y31)*(AC31%+AE31%)+SUM(M34:Y34)*(AC34%+AE34%)+SUM(M35:Y35)*(AC35%+AE35%)+SUM(M37:Y37)*(AC37%+AE37%)+SUM(M38:Y38)*(AC38%+AE38%)+SUM(M39:Y39)*(AC39%+AE39%)+SUM(M41:Y41)*(AC41%+AE41%)+SUM(M42:Y42)*(AC42%+AE42%)+SUM(M44:Y44)*(AC44%+AE44%)+SUM(M45:Y45)*(AC45%+AE45%)+SUM(M46:Y46)*(AC47%+AE47%)+SUM(M48:Y48)*(AC48%+AE48%)+SUM(M49:Y49)*(AC49%+AE49%)+SUM(M50:Y50)*(AC50%+AE50%)+SUM(M52:Y52)*(AC52%+AE52%)+SUM(M53:Y53)*(AC53%+AE53%)+SUM(M54:Y54)*(AC54%+AE54%))/(SUM(AA8:AA11)+SUM(AA13:AA22)+SUM(AA61:AA80)+(AJ33/AF33%+AJ36/AF36%+AJ43/AF43%+AJ51/AF51%+AJ60/AF60%)+AH81+SUM(AH8:AH11)*(1-D2%)+(-AI56))*100</f>
        <v>11.26023768381979</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tr">
        <f>IF(M83&gt;0,M81/M83*100,"")</f>
        <v/>
      </c>
      <c r="N84" s="44" t="str">
        <f t="shared" ref="N84:Z84" si="27">IF(N83&gt;0,N81/N83*100,"")</f>
        <v/>
      </c>
      <c r="O84" s="44" t="str">
        <f t="shared" si="27"/>
        <v/>
      </c>
      <c r="P84" s="44" t="str">
        <f t="shared" si="27"/>
        <v/>
      </c>
      <c r="Q84" s="44" t="str">
        <f t="shared" si="27"/>
        <v/>
      </c>
      <c r="R84" s="44">
        <f t="shared" si="27"/>
        <v>0</v>
      </c>
      <c r="S84" s="44">
        <f t="shared" si="27"/>
        <v>0</v>
      </c>
      <c r="T84" s="44">
        <f t="shared" si="27"/>
        <v>53.83552047231521</v>
      </c>
      <c r="U84" s="44">
        <f t="shared" si="27"/>
        <v>72.936492914338885</v>
      </c>
      <c r="V84" s="44" t="str">
        <f t="shared" si="27"/>
        <v/>
      </c>
      <c r="W84" s="44" t="str">
        <f t="shared" si="27"/>
        <v/>
      </c>
      <c r="X84" s="44" t="str">
        <f t="shared" si="27"/>
        <v/>
      </c>
      <c r="Y84" s="44" t="str">
        <f>IF(Y83&gt;0,Y81/Y83*100,"")</f>
        <v/>
      </c>
      <c r="Z84" s="44" t="str">
        <f t="shared" si="27"/>
        <v/>
      </c>
      <c r="AA84" s="45">
        <f>SUMIF(M83:Z83,"&gt;0",M81:Z81)/SUM(M83:Z83)%</f>
        <v>25.416155061021151</v>
      </c>
      <c r="AB84" s="46" t="s">
        <v>12</v>
      </c>
      <c r="AC84" s="151">
        <f>SUM(M81:Y81)/AA81*100</f>
        <v>11.476149986293489</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tr">
        <f t="shared" ref="B86:I86" si="28">B7</f>
        <v xml:space="preserve">  LPG og petroleum</v>
      </c>
      <c r="C86" s="754" t="str">
        <f t="shared" si="28"/>
        <v xml:space="preserve">  Kul</v>
      </c>
      <c r="D86" s="754" t="str">
        <f t="shared" si="28"/>
        <v xml:space="preserve">  Fuelolie</v>
      </c>
      <c r="E86" s="754" t="str">
        <f t="shared" si="28"/>
        <v xml:space="preserve">  Brændselsolie</v>
      </c>
      <c r="F86" s="754" t="str">
        <f t="shared" si="28"/>
        <v xml:space="preserve">  Dieselolie</v>
      </c>
      <c r="G86" s="754" t="str">
        <f t="shared" si="28"/>
        <v xml:space="preserve">  JP1</v>
      </c>
      <c r="H86" s="754" t="str">
        <f t="shared" si="28"/>
        <v xml:space="preserve">  Benzin</v>
      </c>
      <c r="I86" s="754" t="str">
        <f t="shared" si="28"/>
        <v xml:space="preserve">  Naturgas</v>
      </c>
      <c r="J86" s="673"/>
      <c r="K86" s="673"/>
      <c r="L86" s="673"/>
      <c r="M86" s="754" t="str">
        <f t="shared" ref="M86:Z86" si="29">M7</f>
        <v xml:space="preserve">  Vindenergi</v>
      </c>
      <c r="N86" s="754" t="str">
        <f t="shared" si="29"/>
        <v xml:space="preserve">  Vandenergi</v>
      </c>
      <c r="O86" s="754" t="str">
        <f t="shared" si="29"/>
        <v xml:space="preserve">  Solenergi</v>
      </c>
      <c r="P86" s="754" t="str">
        <f t="shared" si="29"/>
        <v xml:space="preserve">  Geotermi</v>
      </c>
      <c r="Q86" s="754" t="str">
        <f t="shared" si="29"/>
        <v xml:space="preserve">  Varmekilder til varmepumper</v>
      </c>
      <c r="R86" s="754" t="str">
        <f t="shared" si="29"/>
        <v xml:space="preserve">  Husdyrsgødning</v>
      </c>
      <c r="S86" s="754" t="str">
        <f t="shared" si="29"/>
        <v xml:space="preserve">  Biobrændstof og energiafgrøder</v>
      </c>
      <c r="T86" s="754" t="str">
        <f t="shared" si="29"/>
        <v xml:space="preserve">  Halm</v>
      </c>
      <c r="U86" s="754" t="str">
        <f t="shared" si="29"/>
        <v xml:space="preserve">  Brænde og træflis</v>
      </c>
      <c r="V86" s="754" t="str">
        <f t="shared" si="29"/>
        <v xml:space="preserve">  Træpiller og træaffald</v>
      </c>
      <c r="W86" s="754" t="str">
        <f t="shared" si="29"/>
        <v xml:space="preserve">  Organisk affald, industri</v>
      </c>
      <c r="X86" s="754" t="str">
        <f t="shared" si="29"/>
        <v xml:space="preserve">  Organisk affald, husholdninger</v>
      </c>
      <c r="Y86" s="754" t="str">
        <f t="shared" si="29"/>
        <v xml:space="preserve">  Deponi, slam, renseanlæg</v>
      </c>
      <c r="Z86" s="757" t="str">
        <f t="shared" si="29"/>
        <v xml:space="preserve">  Affald, ikke bionedbrydeligt</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8">
        <v>0</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238</v>
      </c>
      <c r="B89" s="186">
        <v>64.8</v>
      </c>
      <c r="C89" s="186">
        <v>94.2</v>
      </c>
      <c r="D89" s="186">
        <v>79.03</v>
      </c>
      <c r="E89" s="186">
        <v>74.099999999999994</v>
      </c>
      <c r="F89" s="186">
        <f>E89</f>
        <v>74.099999999999994</v>
      </c>
      <c r="G89" s="186">
        <v>72</v>
      </c>
      <c r="H89" s="186">
        <v>73</v>
      </c>
      <c r="I89" s="59">
        <v>56.9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D1:E1"/>
    <mergeCell ref="AB1:AB2"/>
    <mergeCell ref="AB3:AB4"/>
    <mergeCell ref="A6:AA6"/>
    <mergeCell ref="AC6:AF6"/>
    <mergeCell ref="AG6:AH6"/>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573EF-FB1A-4925-B549-489269C297FA}">
  <sheetPr codeName="Ark12">
    <tabColor rgb="FF92D050"/>
  </sheetPr>
  <dimension ref="A1:AA187"/>
  <sheetViews>
    <sheetView showGridLines="0" topLeftCell="B1" zoomScale="70" zoomScaleNormal="70" workbookViewId="0">
      <selection activeCell="H37" sqref="H37"/>
    </sheetView>
  </sheetViews>
  <sheetFormatPr defaultColWidth="9.28515625" defaultRowHeight="14.25" x14ac:dyDescent="0.2"/>
  <cols>
    <col min="1" max="1" width="7.28515625" style="197" customWidth="1"/>
    <col min="2" max="2" width="14.28515625" style="197" bestFit="1" customWidth="1"/>
    <col min="3" max="3" width="9.28515625" style="197"/>
    <col min="4" max="4" width="9.5703125" style="197" customWidth="1"/>
    <col min="5" max="5" width="9.28515625" style="197"/>
    <col min="6" max="6" width="12" style="197" bestFit="1" customWidth="1"/>
    <col min="7" max="11" width="9.28515625" style="197"/>
    <col min="12" max="12" width="10.140625" style="197" bestFit="1" customWidth="1"/>
    <col min="13" max="13" width="10" style="197" customWidth="1"/>
    <col min="14" max="15" width="9.28515625" style="197"/>
    <col min="16" max="16" width="11.28515625" style="197" bestFit="1" customWidth="1"/>
    <col min="17" max="19" width="9.28515625" style="197"/>
    <col min="20" max="20" width="10.42578125" style="197" customWidth="1"/>
    <col min="21" max="21" width="13.5703125" style="197" customWidth="1"/>
    <col min="22" max="22" width="58.7109375" style="201" bestFit="1" customWidth="1"/>
    <col min="23" max="23" width="9.42578125" style="197" customWidth="1"/>
    <col min="24" max="24" width="11.85546875" style="197" bestFit="1" customWidth="1"/>
    <col min="25" max="25" width="12.28515625" style="197" bestFit="1" customWidth="1"/>
    <col min="26" max="26" width="8.7109375" style="197" customWidth="1"/>
    <col min="27" max="27" width="11.5703125" style="197" customWidth="1"/>
    <col min="28" max="16384" width="9.28515625" style="197"/>
  </cols>
  <sheetData>
    <row r="1" spans="1:27" ht="15" thickBot="1" x14ac:dyDescent="0.25">
      <c r="V1" s="197"/>
    </row>
    <row r="2" spans="1:27" x14ac:dyDescent="0.2">
      <c r="B2" s="771" t="s">
        <v>363</v>
      </c>
      <c r="C2" s="772"/>
      <c r="D2" s="773"/>
      <c r="E2" s="340"/>
      <c r="F2" s="341">
        <v>2018</v>
      </c>
      <c r="G2" s="10"/>
      <c r="H2" s="10"/>
      <c r="I2" s="10"/>
      <c r="J2" s="10"/>
      <c r="K2" s="10"/>
      <c r="L2" s="10"/>
      <c r="M2" s="10"/>
      <c r="N2" s="10"/>
      <c r="O2" s="10"/>
      <c r="V2" s="342" t="s">
        <v>240</v>
      </c>
    </row>
    <row r="3" spans="1:27" ht="28.5" thickBot="1" x14ac:dyDescent="0.35">
      <c r="B3" s="774" t="s">
        <v>364</v>
      </c>
      <c r="C3" s="775"/>
      <c r="D3" s="343" t="s">
        <v>365</v>
      </c>
      <c r="E3" s="344" t="s">
        <v>366</v>
      </c>
      <c r="F3" s="345" t="s">
        <v>367</v>
      </c>
      <c r="G3" s="346"/>
      <c r="H3" s="346"/>
      <c r="I3" s="346"/>
      <c r="J3" s="346"/>
      <c r="K3" s="346"/>
      <c r="L3" s="346"/>
      <c r="M3" s="346"/>
      <c r="N3" s="346"/>
      <c r="O3" s="346"/>
      <c r="V3" s="347" t="s">
        <v>368</v>
      </c>
    </row>
    <row r="4" spans="1:27" ht="17.25" customHeight="1" x14ac:dyDescent="0.2">
      <c r="B4" s="10"/>
      <c r="C4" s="10"/>
      <c r="D4" s="10"/>
      <c r="E4" s="10"/>
      <c r="F4" s="10"/>
      <c r="G4" s="10"/>
      <c r="H4" s="10"/>
      <c r="I4" s="10"/>
      <c r="J4" s="10"/>
      <c r="K4" s="10"/>
      <c r="L4" s="10"/>
      <c r="M4" s="10"/>
      <c r="N4" s="10"/>
      <c r="O4" s="10"/>
      <c r="V4" s="668" t="str">
        <f>'[1]Dyrehold,2018'!V4</f>
        <v>Skive Kommune</v>
      </c>
    </row>
    <row r="5" spans="1:27" x14ac:dyDescent="0.2">
      <c r="V5" s="197"/>
    </row>
    <row r="6" spans="1:27" ht="15.75" customHeight="1" thickBot="1" x14ac:dyDescent="0.4">
      <c r="B6" s="348"/>
      <c r="C6" s="348"/>
      <c r="D6" s="776" t="s">
        <v>369</v>
      </c>
      <c r="E6" s="777"/>
      <c r="F6" s="777"/>
      <c r="G6" s="777"/>
      <c r="H6" s="777"/>
      <c r="I6" s="777"/>
      <c r="J6" s="777"/>
      <c r="K6" s="777"/>
      <c r="L6" s="777"/>
      <c r="M6" s="777"/>
      <c r="N6" s="777"/>
      <c r="O6" s="777"/>
      <c r="P6" s="777"/>
      <c r="Q6" s="777"/>
      <c r="R6" s="777"/>
      <c r="S6" s="778"/>
      <c r="T6" s="349" t="s">
        <v>370</v>
      </c>
      <c r="U6" s="349" t="s">
        <v>371</v>
      </c>
      <c r="V6" s="350" t="s">
        <v>372</v>
      </c>
      <c r="W6" s="776" t="s">
        <v>373</v>
      </c>
      <c r="X6" s="777"/>
      <c r="Y6" s="777"/>
      <c r="Z6" s="777"/>
      <c r="AA6" s="778"/>
    </row>
    <row r="7" spans="1:27" ht="110.25" customHeight="1" thickBot="1" x14ac:dyDescent="0.25">
      <c r="D7" s="351" t="s">
        <v>374</v>
      </c>
      <c r="E7" s="352" t="s">
        <v>375</v>
      </c>
      <c r="F7" s="352" t="s">
        <v>376</v>
      </c>
      <c r="G7" s="352" t="s">
        <v>377</v>
      </c>
      <c r="H7" s="352" t="s">
        <v>378</v>
      </c>
      <c r="I7" s="352" t="s">
        <v>379</v>
      </c>
      <c r="J7" s="352" t="s">
        <v>380</v>
      </c>
      <c r="K7" s="352" t="s">
        <v>381</v>
      </c>
      <c r="L7" s="352" t="s">
        <v>382</v>
      </c>
      <c r="M7" s="352" t="s">
        <v>383</v>
      </c>
      <c r="N7" s="352" t="s">
        <v>384</v>
      </c>
      <c r="O7" s="352" t="s">
        <v>385</v>
      </c>
      <c r="P7" s="352" t="s">
        <v>386</v>
      </c>
      <c r="Q7" s="352" t="s">
        <v>387</v>
      </c>
      <c r="R7" s="352" t="s">
        <v>388</v>
      </c>
      <c r="S7" s="353" t="s">
        <v>389</v>
      </c>
      <c r="T7" s="354" t="s">
        <v>390</v>
      </c>
      <c r="U7" s="355" t="s">
        <v>391</v>
      </c>
      <c r="V7" s="356"/>
      <c r="W7" s="357" t="s">
        <v>392</v>
      </c>
      <c r="X7" s="352" t="s">
        <v>393</v>
      </c>
      <c r="Y7" s="352" t="s">
        <v>394</v>
      </c>
      <c r="Z7" s="352" t="s">
        <v>395</v>
      </c>
      <c r="AA7" s="358" t="s">
        <v>396</v>
      </c>
    </row>
    <row r="8" spans="1:27" ht="15.75" customHeight="1" x14ac:dyDescent="0.2">
      <c r="A8" s="779"/>
      <c r="D8" s="359">
        <f>SUM(D9:D15)</f>
        <v>1563.23</v>
      </c>
      <c r="E8" s="360">
        <f t="shared" ref="E8:S8" si="0">SUM(E9:E15)</f>
        <v>50.239999999999995</v>
      </c>
      <c r="F8" s="360">
        <f t="shared" si="0"/>
        <v>1566352.6400000001</v>
      </c>
      <c r="G8" s="360">
        <f t="shared" si="0"/>
        <v>26403.010000000002</v>
      </c>
      <c r="H8" s="360">
        <f t="shared" si="0"/>
        <v>508.78</v>
      </c>
      <c r="I8" s="360">
        <f t="shared" si="0"/>
        <v>384.54999999999995</v>
      </c>
      <c r="J8" s="360">
        <f t="shared" si="0"/>
        <v>19.07</v>
      </c>
      <c r="K8" s="360">
        <f t="shared" si="0"/>
        <v>9572.7799999999988</v>
      </c>
      <c r="L8" s="360">
        <f t="shared" si="0"/>
        <v>34314.94</v>
      </c>
      <c r="M8" s="360">
        <f t="shared" si="0"/>
        <v>483339.95999999996</v>
      </c>
      <c r="N8" s="360">
        <f t="shared" si="0"/>
        <v>12157.67</v>
      </c>
      <c r="O8" s="360">
        <f t="shared" si="0"/>
        <v>4870.4799999999996</v>
      </c>
      <c r="P8" s="360">
        <f t="shared" si="0"/>
        <v>924127.46000000008</v>
      </c>
      <c r="Q8" s="360">
        <f t="shared" si="0"/>
        <v>2884.4500000000003</v>
      </c>
      <c r="R8" s="360">
        <f t="shared" si="0"/>
        <v>12016.41</v>
      </c>
      <c r="S8" s="361">
        <f t="shared" si="0"/>
        <v>55415.859999999993</v>
      </c>
      <c r="T8" s="362"/>
      <c r="U8" s="362"/>
      <c r="V8" s="363" t="s">
        <v>289</v>
      </c>
      <c r="W8" s="364"/>
      <c r="X8" s="702">
        <v>4209.2091307706833</v>
      </c>
      <c r="Y8" s="702">
        <v>0</v>
      </c>
      <c r="Z8" s="366">
        <f>AA8/SUM(D8:S8)</f>
        <v>3.3577169253217354E-2</v>
      </c>
      <c r="AA8" s="367">
        <f>X8*'Grafer-klima'!$O$9+Y8*'Grafer-klima'!$P$9</f>
        <v>105230.22826926709</v>
      </c>
    </row>
    <row r="9" spans="1:27" x14ac:dyDescent="0.2">
      <c r="A9" s="779"/>
      <c r="D9" s="703">
        <v>207.57</v>
      </c>
      <c r="E9" s="704">
        <v>0</v>
      </c>
      <c r="F9" s="704">
        <v>0</v>
      </c>
      <c r="G9" s="704">
        <v>0</v>
      </c>
      <c r="H9" s="704">
        <v>0</v>
      </c>
      <c r="I9" s="704">
        <v>0</v>
      </c>
      <c r="J9" s="704">
        <v>0</v>
      </c>
      <c r="K9" s="704">
        <v>201.81</v>
      </c>
      <c r="L9" s="704">
        <v>0</v>
      </c>
      <c r="M9" s="704">
        <v>0</v>
      </c>
      <c r="N9" s="704">
        <v>0</v>
      </c>
      <c r="O9" s="704">
        <v>19.490000000000002</v>
      </c>
      <c r="P9" s="704">
        <v>0</v>
      </c>
      <c r="Q9" s="704">
        <v>0</v>
      </c>
      <c r="R9" s="704">
        <v>740.22</v>
      </c>
      <c r="S9" s="704">
        <v>0</v>
      </c>
      <c r="T9" s="705">
        <v>0</v>
      </c>
      <c r="U9" s="368"/>
      <c r="V9" s="369" t="s">
        <v>397</v>
      </c>
      <c r="W9" s="370"/>
      <c r="X9" s="702">
        <v>30.296140111776722</v>
      </c>
      <c r="Y9" s="702">
        <v>1.2933449489965714</v>
      </c>
      <c r="Z9" s="339">
        <f t="shared" ref="Z9:Z15" si="1">AA9/SUM(D9:S9)</f>
        <v>0.97752978606899066</v>
      </c>
      <c r="AA9" s="367">
        <f>X9*'Grafer-klima'!$O$9+Y9*'Grafer-klima'!$P$9</f>
        <v>1142.8202975953964</v>
      </c>
    </row>
    <row r="10" spans="1:27" x14ac:dyDescent="0.2">
      <c r="A10" s="779"/>
      <c r="D10" s="703">
        <v>1314.71</v>
      </c>
      <c r="E10" s="704">
        <v>41.86</v>
      </c>
      <c r="F10" s="704">
        <v>0</v>
      </c>
      <c r="G10" s="704">
        <v>0</v>
      </c>
      <c r="H10" s="704">
        <v>0</v>
      </c>
      <c r="I10" s="704">
        <v>0</v>
      </c>
      <c r="J10" s="704">
        <v>0</v>
      </c>
      <c r="K10" s="704">
        <v>2754.9700000000003</v>
      </c>
      <c r="L10" s="704">
        <v>0</v>
      </c>
      <c r="M10" s="704">
        <v>6753.08</v>
      </c>
      <c r="N10" s="704">
        <v>12157.67</v>
      </c>
      <c r="O10" s="704">
        <v>2901.5</v>
      </c>
      <c r="P10" s="704">
        <v>46.96</v>
      </c>
      <c r="Q10" s="704">
        <v>2884.4500000000003</v>
      </c>
      <c r="R10" s="704">
        <v>672.09</v>
      </c>
      <c r="S10" s="704">
        <v>1930.3700000000001</v>
      </c>
      <c r="T10" s="705">
        <v>0</v>
      </c>
      <c r="U10" s="373"/>
      <c r="V10" s="369" t="s">
        <v>398</v>
      </c>
      <c r="W10" s="370"/>
      <c r="X10" s="702">
        <v>413.62838760580041</v>
      </c>
      <c r="Y10" s="702">
        <v>12.657696980445474</v>
      </c>
      <c r="Z10" s="339">
        <f t="shared" si="1"/>
        <v>0.44862533927564102</v>
      </c>
      <c r="AA10" s="367">
        <f>X10*'Grafer-klima'!$O$9+Y10*'Grafer-klima'!$P$9</f>
        <v>14112.703390317762</v>
      </c>
    </row>
    <row r="11" spans="1:27" x14ac:dyDescent="0.2">
      <c r="A11" s="779"/>
      <c r="D11" s="703">
        <v>0</v>
      </c>
      <c r="E11" s="704">
        <v>0</v>
      </c>
      <c r="F11" s="704">
        <v>11.17</v>
      </c>
      <c r="G11" s="704">
        <v>0</v>
      </c>
      <c r="H11" s="704">
        <v>0</v>
      </c>
      <c r="I11" s="704">
        <v>0</v>
      </c>
      <c r="J11" s="704">
        <v>0</v>
      </c>
      <c r="K11" s="704">
        <v>0</v>
      </c>
      <c r="L11" s="704">
        <v>0</v>
      </c>
      <c r="M11" s="704">
        <v>0</v>
      </c>
      <c r="N11" s="704">
        <v>0</v>
      </c>
      <c r="O11" s="704">
        <v>0</v>
      </c>
      <c r="P11" s="704">
        <v>0</v>
      </c>
      <c r="Q11" s="704">
        <v>0</v>
      </c>
      <c r="R11" s="704">
        <v>0</v>
      </c>
      <c r="S11" s="704">
        <v>4.83</v>
      </c>
      <c r="T11" s="705">
        <v>0</v>
      </c>
      <c r="U11" s="373"/>
      <c r="V11" s="369" t="s">
        <v>399</v>
      </c>
      <c r="W11" s="370"/>
      <c r="X11" s="702">
        <v>1.3334182086855468E-3</v>
      </c>
      <c r="Y11" s="702">
        <v>6.0963460045714291E-5</v>
      </c>
      <c r="Z11" s="339">
        <f t="shared" si="1"/>
        <v>3.2189103944225955E-3</v>
      </c>
      <c r="AA11" s="367">
        <f>X11*'Grafer-klima'!$O$9+Y11*'Grafer-klima'!$P$9</f>
        <v>5.1502566310761527E-2</v>
      </c>
    </row>
    <row r="12" spans="1:27" x14ac:dyDescent="0.2">
      <c r="A12" s="779"/>
      <c r="D12" s="703">
        <v>0</v>
      </c>
      <c r="E12" s="704">
        <v>0</v>
      </c>
      <c r="F12" s="704">
        <v>0</v>
      </c>
      <c r="G12" s="704">
        <v>0</v>
      </c>
      <c r="H12" s="704">
        <v>483.27</v>
      </c>
      <c r="I12" s="704">
        <v>0</v>
      </c>
      <c r="J12" s="704">
        <v>0</v>
      </c>
      <c r="K12" s="704">
        <v>0</v>
      </c>
      <c r="L12" s="704">
        <v>0</v>
      </c>
      <c r="M12" s="704">
        <v>1154.1500000000001</v>
      </c>
      <c r="N12" s="704">
        <v>0</v>
      </c>
      <c r="O12" s="704">
        <v>0</v>
      </c>
      <c r="P12" s="704">
        <v>39.92</v>
      </c>
      <c r="Q12" s="704">
        <v>0</v>
      </c>
      <c r="R12" s="704">
        <v>0</v>
      </c>
      <c r="S12" s="704">
        <v>0</v>
      </c>
      <c r="T12" s="705">
        <v>0</v>
      </c>
      <c r="U12" s="373"/>
      <c r="V12" s="369" t="s">
        <v>400</v>
      </c>
      <c r="W12" s="370"/>
      <c r="X12" s="702">
        <v>1.5117310202203105</v>
      </c>
      <c r="Y12" s="702">
        <v>3.4141028265300001E-2</v>
      </c>
      <c r="Z12" s="339">
        <f t="shared" si="1"/>
        <v>2.8597244403977228E-2</v>
      </c>
      <c r="AA12" s="367">
        <f>X12*'Grafer-klima'!$O$9+Y12*'Grafer-klima'!$P$9</f>
        <v>47.967301928567167</v>
      </c>
    </row>
    <row r="13" spans="1:27" x14ac:dyDescent="0.2">
      <c r="A13" s="779"/>
      <c r="D13" s="703">
        <v>0</v>
      </c>
      <c r="E13" s="704">
        <v>0</v>
      </c>
      <c r="F13" s="704">
        <v>1566341.4700000002</v>
      </c>
      <c r="G13" s="704">
        <v>0</v>
      </c>
      <c r="H13" s="704">
        <v>25.51</v>
      </c>
      <c r="I13" s="704">
        <v>384.54999999999995</v>
      </c>
      <c r="J13" s="704">
        <v>19.07</v>
      </c>
      <c r="K13" s="704">
        <v>0</v>
      </c>
      <c r="L13" s="704">
        <v>34314.94</v>
      </c>
      <c r="M13" s="704">
        <v>0</v>
      </c>
      <c r="N13" s="704">
        <v>0</v>
      </c>
      <c r="O13" s="704">
        <v>0</v>
      </c>
      <c r="P13" s="704">
        <v>0</v>
      </c>
      <c r="Q13" s="704">
        <v>0</v>
      </c>
      <c r="R13" s="704">
        <v>0</v>
      </c>
      <c r="S13" s="704">
        <v>0</v>
      </c>
      <c r="T13" s="705">
        <v>0</v>
      </c>
      <c r="U13" s="373"/>
      <c r="V13" s="369" t="s">
        <v>401</v>
      </c>
      <c r="W13" s="370"/>
      <c r="X13" s="702">
        <v>22.118695885183392</v>
      </c>
      <c r="Y13" s="702">
        <v>4.1258160488154108</v>
      </c>
      <c r="Z13" s="339">
        <f t="shared" si="1"/>
        <v>1.1132825418413165E-3</v>
      </c>
      <c r="AA13" s="367">
        <f>X13*'Grafer-klima'!$O$9+Y13*'Grafer-klima'!$P$9</f>
        <v>1782.4605796765773</v>
      </c>
    </row>
    <row r="14" spans="1:27" x14ac:dyDescent="0.2">
      <c r="D14" s="703">
        <v>0</v>
      </c>
      <c r="E14" s="704">
        <v>0</v>
      </c>
      <c r="F14" s="704">
        <v>0</v>
      </c>
      <c r="G14" s="704">
        <v>26403.010000000002</v>
      </c>
      <c r="H14" s="704">
        <v>0</v>
      </c>
      <c r="I14" s="704">
        <v>0</v>
      </c>
      <c r="J14" s="704">
        <v>0</v>
      </c>
      <c r="K14" s="704">
        <v>2301.8200000000002</v>
      </c>
      <c r="L14" s="704">
        <v>0</v>
      </c>
      <c r="M14" s="704">
        <v>475432.73</v>
      </c>
      <c r="N14" s="704">
        <v>0</v>
      </c>
      <c r="O14" s="704">
        <v>1180.43</v>
      </c>
      <c r="P14" s="704">
        <v>924040.58000000007</v>
      </c>
      <c r="Q14" s="704">
        <v>0</v>
      </c>
      <c r="R14" s="704">
        <v>0</v>
      </c>
      <c r="S14" s="704">
        <v>53480.659999999996</v>
      </c>
      <c r="T14" s="705">
        <v>0</v>
      </c>
      <c r="U14" s="375"/>
      <c r="V14" s="369" t="s">
        <v>402</v>
      </c>
      <c r="W14" s="376"/>
      <c r="X14" s="702">
        <v>1313.0928722967749</v>
      </c>
      <c r="Y14" s="702">
        <v>49.98575874247372</v>
      </c>
      <c r="Z14" s="339">
        <f t="shared" si="1"/>
        <v>3.2183581973803416E-2</v>
      </c>
      <c r="AA14" s="367">
        <f>X14*'Grafer-klima'!$O$9+Y14*'Grafer-klima'!$P$9</f>
        <v>47723.077912676541</v>
      </c>
    </row>
    <row r="15" spans="1:27" x14ac:dyDescent="0.2">
      <c r="D15" s="703">
        <v>40.950000000000003</v>
      </c>
      <c r="E15" s="704">
        <v>8.379999999999999</v>
      </c>
      <c r="F15" s="704">
        <v>0</v>
      </c>
      <c r="G15" s="704">
        <v>0</v>
      </c>
      <c r="H15" s="704">
        <v>0</v>
      </c>
      <c r="I15" s="704">
        <v>0</v>
      </c>
      <c r="J15" s="704">
        <v>0</v>
      </c>
      <c r="K15" s="704">
        <v>4314.1799999999994</v>
      </c>
      <c r="L15" s="704">
        <v>0</v>
      </c>
      <c r="M15" s="704">
        <v>0</v>
      </c>
      <c r="N15" s="704">
        <v>0</v>
      </c>
      <c r="O15" s="704">
        <v>769.06</v>
      </c>
      <c r="P15" s="704">
        <v>0</v>
      </c>
      <c r="Q15" s="704">
        <v>0</v>
      </c>
      <c r="R15" s="704">
        <v>10604.1</v>
      </c>
      <c r="S15" s="704">
        <v>0</v>
      </c>
      <c r="T15" s="705">
        <v>0</v>
      </c>
      <c r="U15" s="375"/>
      <c r="V15" s="369" t="s">
        <v>403</v>
      </c>
      <c r="W15" s="376"/>
      <c r="X15" s="702">
        <v>519.32353887833858</v>
      </c>
      <c r="Y15" s="702">
        <v>17.239768463629183</v>
      </c>
      <c r="Z15" s="339">
        <f t="shared" si="1"/>
        <v>1.1514850012181712</v>
      </c>
      <c r="AA15" s="367">
        <f>X15*'Grafer-klima'!$O$9+Y15*'Grafer-klima'!$P$9</f>
        <v>18120.53947411996</v>
      </c>
    </row>
    <row r="16" spans="1:27" x14ac:dyDescent="0.2">
      <c r="D16" s="703">
        <v>0</v>
      </c>
      <c r="E16" s="704">
        <v>0</v>
      </c>
      <c r="F16" s="704">
        <v>0</v>
      </c>
      <c r="G16" s="704">
        <v>0</v>
      </c>
      <c r="H16" s="704">
        <v>0</v>
      </c>
      <c r="I16" s="704">
        <v>0</v>
      </c>
      <c r="J16" s="704">
        <v>0</v>
      </c>
      <c r="K16" s="704">
        <v>0</v>
      </c>
      <c r="L16" s="704">
        <v>0</v>
      </c>
      <c r="M16" s="704">
        <v>0</v>
      </c>
      <c r="N16" s="704">
        <v>0</v>
      </c>
      <c r="O16" s="704">
        <v>0</v>
      </c>
      <c r="P16" s="704">
        <v>0</v>
      </c>
      <c r="Q16" s="704">
        <v>0</v>
      </c>
      <c r="R16" s="704">
        <v>0</v>
      </c>
      <c r="S16" s="704">
        <v>0</v>
      </c>
      <c r="T16" s="705">
        <v>68244.399999999994</v>
      </c>
      <c r="U16" s="377"/>
      <c r="V16" s="378" t="s">
        <v>292</v>
      </c>
      <c r="W16" s="376"/>
      <c r="X16" s="702">
        <v>-39.7908682770735</v>
      </c>
      <c r="Y16" s="702">
        <v>0</v>
      </c>
      <c r="Z16" s="339"/>
      <c r="AA16" s="367">
        <f>X16*'Grafer-klima'!$O$9+Y16*'Grafer-klima'!$P$9</f>
        <v>-994.77170692683751</v>
      </c>
    </row>
    <row r="17" spans="2:27" ht="15" thickBot="1" x14ac:dyDescent="0.25">
      <c r="D17" s="703">
        <v>0</v>
      </c>
      <c r="E17" s="706">
        <v>0</v>
      </c>
      <c r="F17" s="706">
        <v>0</v>
      </c>
      <c r="G17" s="706">
        <v>0</v>
      </c>
      <c r="H17" s="706">
        <v>0</v>
      </c>
      <c r="I17" s="706">
        <v>0</v>
      </c>
      <c r="J17" s="706">
        <v>0</v>
      </c>
      <c r="K17" s="706">
        <v>0</v>
      </c>
      <c r="L17" s="706">
        <v>0</v>
      </c>
      <c r="M17" s="706">
        <v>0</v>
      </c>
      <c r="N17" s="706">
        <v>0</v>
      </c>
      <c r="O17" s="706">
        <v>0</v>
      </c>
      <c r="P17" s="706">
        <v>0</v>
      </c>
      <c r="Q17" s="706">
        <v>0</v>
      </c>
      <c r="R17" s="706">
        <v>0</v>
      </c>
      <c r="S17" s="706">
        <v>0</v>
      </c>
      <c r="T17" s="705">
        <v>112260.98</v>
      </c>
      <c r="U17" s="379"/>
      <c r="V17" s="380" t="s">
        <v>293</v>
      </c>
      <c r="W17" s="381"/>
      <c r="X17" s="702">
        <v>-63.600893637128301</v>
      </c>
      <c r="Y17" s="702">
        <v>0</v>
      </c>
      <c r="Z17" s="383"/>
      <c r="AA17" s="236">
        <f>X17*'Grafer-klima'!$O$9+Y17*'Grafer-klima'!$P$9</f>
        <v>-1590.0223409282075</v>
      </c>
    </row>
    <row r="18" spans="2:27" ht="15.75" x14ac:dyDescent="0.3">
      <c r="D18" s="384"/>
      <c r="E18" s="385"/>
      <c r="F18" s="385"/>
      <c r="G18" s="385"/>
      <c r="H18" s="385"/>
      <c r="I18" s="385"/>
      <c r="J18" s="385"/>
      <c r="K18" s="385"/>
      <c r="L18" s="385"/>
      <c r="M18" s="385"/>
      <c r="N18" s="385"/>
      <c r="O18" s="385"/>
      <c r="P18" s="385"/>
      <c r="Q18" s="385"/>
      <c r="R18" s="385"/>
      <c r="S18" s="386"/>
      <c r="T18" s="387"/>
      <c r="U18" s="707">
        <v>580.6867101018961</v>
      </c>
      <c r="V18" s="363" t="s">
        <v>404</v>
      </c>
      <c r="W18" s="388"/>
      <c r="X18" s="389"/>
      <c r="Y18" s="625">
        <v>-0.111552080731707</v>
      </c>
      <c r="Z18" s="390"/>
      <c r="AA18" s="367">
        <f>X18*'Grafer-klima'!$O$9+Y18*'Grafer-klima'!$P$9</f>
        <v>-33.242520058048683</v>
      </c>
    </row>
    <row r="19" spans="2:27" ht="15.75" x14ac:dyDescent="0.3">
      <c r="D19" s="391"/>
      <c r="E19" s="392"/>
      <c r="F19" s="392"/>
      <c r="G19" s="392"/>
      <c r="H19" s="392"/>
      <c r="I19" s="392"/>
      <c r="J19" s="392"/>
      <c r="K19" s="392"/>
      <c r="L19" s="392"/>
      <c r="M19" s="392"/>
      <c r="N19" s="392"/>
      <c r="O19" s="392"/>
      <c r="P19" s="392"/>
      <c r="Q19" s="392"/>
      <c r="R19" s="392"/>
      <c r="S19" s="393"/>
      <c r="T19" s="394"/>
      <c r="U19" s="708">
        <v>347.35599934493575</v>
      </c>
      <c r="V19" s="395" t="s">
        <v>405</v>
      </c>
      <c r="W19" s="396"/>
      <c r="X19" s="397"/>
      <c r="Y19" s="338">
        <v>-5.3193587167882E-2</v>
      </c>
      <c r="Z19" s="366"/>
      <c r="AA19" s="367">
        <f>X19*'Grafer-klima'!$O$9+Y19*'Grafer-klima'!$P$9</f>
        <v>-15.851688976028836</v>
      </c>
    </row>
    <row r="20" spans="2:27" ht="15.75" x14ac:dyDescent="0.3">
      <c r="D20" s="391"/>
      <c r="E20" s="392"/>
      <c r="F20" s="392"/>
      <c r="G20" s="392"/>
      <c r="H20" s="392"/>
      <c r="I20" s="392"/>
      <c r="J20" s="392"/>
      <c r="K20" s="392"/>
      <c r="L20" s="392"/>
      <c r="M20" s="392"/>
      <c r="N20" s="392"/>
      <c r="O20" s="392"/>
      <c r="P20" s="392"/>
      <c r="Q20" s="392"/>
      <c r="R20" s="392"/>
      <c r="S20" s="393"/>
      <c r="T20" s="394"/>
      <c r="U20" s="708">
        <v>0</v>
      </c>
      <c r="V20" s="395" t="s">
        <v>406</v>
      </c>
      <c r="W20" s="396"/>
      <c r="X20" s="397"/>
      <c r="Y20" s="338">
        <v>0</v>
      </c>
      <c r="Z20" s="366"/>
      <c r="AA20" s="367">
        <f>X20*'Grafer-klima'!$O$9+Y20*'Grafer-klima'!$P$9</f>
        <v>0</v>
      </c>
    </row>
    <row r="21" spans="2:27" ht="16.5" thickBot="1" x14ac:dyDescent="0.35">
      <c r="D21" s="398"/>
      <c r="E21" s="399"/>
      <c r="F21" s="399"/>
      <c r="G21" s="399"/>
      <c r="H21" s="399"/>
      <c r="I21" s="399"/>
      <c r="J21" s="399"/>
      <c r="K21" s="399"/>
      <c r="L21" s="399"/>
      <c r="M21" s="399"/>
      <c r="N21" s="399"/>
      <c r="O21" s="399"/>
      <c r="P21" s="399"/>
      <c r="Q21" s="399"/>
      <c r="R21" s="399"/>
      <c r="S21" s="400"/>
      <c r="T21" s="401"/>
      <c r="U21" s="709">
        <v>96.793677111577693</v>
      </c>
      <c r="V21" s="402" t="s">
        <v>407</v>
      </c>
      <c r="W21" s="403"/>
      <c r="X21" s="404"/>
      <c r="Y21" s="710">
        <v>-0.41448866139990798</v>
      </c>
      <c r="Z21" s="405"/>
      <c r="AA21" s="236">
        <f>X21*'Grafer-klima'!$O$9+Y21*'Grafer-klima'!$P$9</f>
        <v>-123.51762109717258</v>
      </c>
    </row>
    <row r="22" spans="2:27" ht="15.75" thickBot="1" x14ac:dyDescent="0.3">
      <c r="D22" s="406">
        <f t="shared" ref="D22:S22" si="2">SUM(D9:D15)</f>
        <v>1563.23</v>
      </c>
      <c r="E22" s="407">
        <f t="shared" si="2"/>
        <v>50.239999999999995</v>
      </c>
      <c r="F22" s="407">
        <f t="shared" si="2"/>
        <v>1566352.6400000001</v>
      </c>
      <c r="G22" s="407">
        <f t="shared" si="2"/>
        <v>26403.010000000002</v>
      </c>
      <c r="H22" s="407">
        <f t="shared" si="2"/>
        <v>508.78</v>
      </c>
      <c r="I22" s="407">
        <f t="shared" si="2"/>
        <v>384.54999999999995</v>
      </c>
      <c r="J22" s="407">
        <f t="shared" si="2"/>
        <v>19.07</v>
      </c>
      <c r="K22" s="407">
        <f t="shared" si="2"/>
        <v>9572.7799999999988</v>
      </c>
      <c r="L22" s="407">
        <f t="shared" si="2"/>
        <v>34314.94</v>
      </c>
      <c r="M22" s="407">
        <f t="shared" si="2"/>
        <v>483339.95999999996</v>
      </c>
      <c r="N22" s="407">
        <f t="shared" si="2"/>
        <v>12157.67</v>
      </c>
      <c r="O22" s="407">
        <f t="shared" si="2"/>
        <v>4870.4799999999996</v>
      </c>
      <c r="P22" s="407">
        <f t="shared" si="2"/>
        <v>924127.46000000008</v>
      </c>
      <c r="Q22" s="407">
        <f t="shared" si="2"/>
        <v>2884.4500000000003</v>
      </c>
      <c r="R22" s="407">
        <f t="shared" si="2"/>
        <v>12016.41</v>
      </c>
      <c r="S22" s="408">
        <f t="shared" si="2"/>
        <v>55415.859999999993</v>
      </c>
      <c r="T22" s="409">
        <f>SUM(T16:T17)</f>
        <v>180505.38</v>
      </c>
      <c r="U22" s="409"/>
      <c r="V22" s="410" t="s">
        <v>249</v>
      </c>
      <c r="W22" s="403">
        <f>SUM(W8:W15)</f>
        <v>0</v>
      </c>
      <c r="X22" s="404">
        <f>SUM(X8:X17)</f>
        <v>6405.7900680727844</v>
      </c>
      <c r="Y22" s="404">
        <f>SUM(Y8:Y21)</f>
        <v>84.757352846786205</v>
      </c>
      <c r="Z22" s="411"/>
      <c r="AA22" s="412">
        <f>SUM(AA8:AA21)</f>
        <v>185402.4428501619</v>
      </c>
    </row>
    <row r="23" spans="2:27" x14ac:dyDescent="0.2">
      <c r="V23" s="197"/>
    </row>
    <row r="24" spans="2:27" ht="18.75" x14ac:dyDescent="0.35">
      <c r="B24" s="197" t="s">
        <v>415</v>
      </c>
      <c r="V24" s="197"/>
      <c r="Y24" s="413"/>
    </row>
    <row r="25" spans="2:27" x14ac:dyDescent="0.2">
      <c r="V25" s="197"/>
    </row>
    <row r="26" spans="2:27" x14ac:dyDescent="0.2">
      <c r="V26" s="197"/>
    </row>
    <row r="27" spans="2:27" x14ac:dyDescent="0.2">
      <c r="V27" s="197"/>
    </row>
    <row r="28" spans="2:27" x14ac:dyDescent="0.2">
      <c r="V28" s="197"/>
    </row>
    <row r="29" spans="2:27" x14ac:dyDescent="0.2">
      <c r="V29" s="197"/>
    </row>
    <row r="30" spans="2:27" x14ac:dyDescent="0.2">
      <c r="V30" s="197"/>
    </row>
    <row r="31" spans="2:27" x14ac:dyDescent="0.2">
      <c r="V31" s="197"/>
    </row>
    <row r="32" spans="2:27" x14ac:dyDescent="0.2">
      <c r="V32" s="197"/>
    </row>
    <row r="33" spans="22:22" x14ac:dyDescent="0.2">
      <c r="V33" s="197"/>
    </row>
    <row r="34" spans="22:22" x14ac:dyDescent="0.2">
      <c r="V34" s="197"/>
    </row>
    <row r="35" spans="22:22" x14ac:dyDescent="0.2">
      <c r="V35" s="197"/>
    </row>
    <row r="36" spans="22:22" x14ac:dyDescent="0.2">
      <c r="V36" s="197"/>
    </row>
    <row r="37" spans="22:22" x14ac:dyDescent="0.2">
      <c r="V37" s="197"/>
    </row>
    <row r="38" spans="22:22" x14ac:dyDescent="0.2">
      <c r="V38" s="197"/>
    </row>
    <row r="39" spans="22:22" x14ac:dyDescent="0.2">
      <c r="V39" s="197"/>
    </row>
    <row r="40" spans="22:22" x14ac:dyDescent="0.2">
      <c r="V40" s="197"/>
    </row>
    <row r="41" spans="22:22" x14ac:dyDescent="0.2">
      <c r="V41" s="197"/>
    </row>
    <row r="42" spans="22:22" x14ac:dyDescent="0.2">
      <c r="V42" s="197"/>
    </row>
    <row r="43" spans="22:22" x14ac:dyDescent="0.2">
      <c r="V43" s="197"/>
    </row>
    <row r="44" spans="22:22" x14ac:dyDescent="0.2">
      <c r="V44" s="197"/>
    </row>
    <row r="45" spans="22:22" x14ac:dyDescent="0.2">
      <c r="V45" s="197"/>
    </row>
    <row r="46" spans="22:22" x14ac:dyDescent="0.2">
      <c r="V46" s="197"/>
    </row>
    <row r="47" spans="22:22" x14ac:dyDescent="0.2">
      <c r="V47" s="197"/>
    </row>
    <row r="48" spans="22:22" x14ac:dyDescent="0.2">
      <c r="V48" s="197"/>
    </row>
    <row r="49" spans="22:22" x14ac:dyDescent="0.2">
      <c r="V49" s="197"/>
    </row>
    <row r="50" spans="22:22" x14ac:dyDescent="0.2">
      <c r="V50" s="197"/>
    </row>
    <row r="51" spans="22:22" x14ac:dyDescent="0.2">
      <c r="V51" s="197"/>
    </row>
    <row r="52" spans="22:22" x14ac:dyDescent="0.2">
      <c r="V52" s="197"/>
    </row>
    <row r="53" spans="22:22" x14ac:dyDescent="0.2">
      <c r="V53" s="197"/>
    </row>
    <row r="54" spans="22:22" x14ac:dyDescent="0.2">
      <c r="V54" s="197"/>
    </row>
    <row r="55" spans="22:22" x14ac:dyDescent="0.2">
      <c r="V55" s="197"/>
    </row>
    <row r="56" spans="22:22" x14ac:dyDescent="0.2">
      <c r="V56" s="197"/>
    </row>
    <row r="57" spans="22:22" x14ac:dyDescent="0.2">
      <c r="V57" s="197"/>
    </row>
    <row r="58" spans="22:22" x14ac:dyDescent="0.2">
      <c r="V58" s="197"/>
    </row>
    <row r="59" spans="22:22" x14ac:dyDescent="0.2">
      <c r="V59" s="197"/>
    </row>
    <row r="60" spans="22:22" x14ac:dyDescent="0.2">
      <c r="V60" s="197"/>
    </row>
    <row r="61" spans="22:22" x14ac:dyDescent="0.2">
      <c r="V61" s="197"/>
    </row>
    <row r="62" spans="22:22" x14ac:dyDescent="0.2">
      <c r="V62" s="197"/>
    </row>
    <row r="63" spans="22:22" x14ac:dyDescent="0.2">
      <c r="V63" s="197"/>
    </row>
    <row r="64" spans="22:22" x14ac:dyDescent="0.2">
      <c r="V64" s="197"/>
    </row>
    <row r="65" spans="22:22" x14ac:dyDescent="0.2">
      <c r="V65" s="197"/>
    </row>
    <row r="66" spans="22:22" x14ac:dyDescent="0.2">
      <c r="V66" s="197"/>
    </row>
    <row r="67" spans="22:22" x14ac:dyDescent="0.2">
      <c r="V67" s="197"/>
    </row>
    <row r="68" spans="22:22" x14ac:dyDescent="0.2">
      <c r="V68" s="197"/>
    </row>
    <row r="69" spans="22:22" x14ac:dyDescent="0.2">
      <c r="V69" s="197"/>
    </row>
    <row r="70" spans="22:22" x14ac:dyDescent="0.2">
      <c r="V70" s="197"/>
    </row>
    <row r="71" spans="22:22" x14ac:dyDescent="0.2">
      <c r="V71" s="197"/>
    </row>
    <row r="72" spans="22:22" x14ac:dyDescent="0.2">
      <c r="V72" s="197"/>
    </row>
    <row r="73" spans="22:22" x14ac:dyDescent="0.2">
      <c r="V73" s="197"/>
    </row>
    <row r="74" spans="22:22" x14ac:dyDescent="0.2">
      <c r="V74" s="197"/>
    </row>
    <row r="75" spans="22:22" x14ac:dyDescent="0.2">
      <c r="V75" s="197"/>
    </row>
    <row r="76" spans="22:22" x14ac:dyDescent="0.2">
      <c r="V76" s="197"/>
    </row>
    <row r="77" spans="22:22" x14ac:dyDescent="0.2">
      <c r="V77" s="197"/>
    </row>
    <row r="78" spans="22:22" x14ac:dyDescent="0.2">
      <c r="V78" s="197"/>
    </row>
    <row r="79" spans="22:22" x14ac:dyDescent="0.2">
      <c r="V79" s="197"/>
    </row>
    <row r="80" spans="22:22" x14ac:dyDescent="0.2">
      <c r="V80" s="197"/>
    </row>
    <row r="81" spans="22:22" x14ac:dyDescent="0.2">
      <c r="V81" s="197"/>
    </row>
    <row r="82" spans="22:22" x14ac:dyDescent="0.2">
      <c r="V82" s="197"/>
    </row>
    <row r="83" spans="22:22" x14ac:dyDescent="0.2">
      <c r="V83" s="197"/>
    </row>
    <row r="84" spans="22:22" x14ac:dyDescent="0.2">
      <c r="V84" s="197"/>
    </row>
    <row r="85" spans="22:22" x14ac:dyDescent="0.2">
      <c r="V85" s="197"/>
    </row>
    <row r="86" spans="22:22" x14ac:dyDescent="0.2">
      <c r="V86" s="197"/>
    </row>
    <row r="87" spans="22:22" x14ac:dyDescent="0.2">
      <c r="V87" s="197"/>
    </row>
    <row r="88" spans="22:22" x14ac:dyDescent="0.2">
      <c r="V88" s="197"/>
    </row>
    <row r="89" spans="22:22" x14ac:dyDescent="0.2">
      <c r="V89" s="197"/>
    </row>
    <row r="90" spans="22:22" x14ac:dyDescent="0.2">
      <c r="V90" s="197"/>
    </row>
    <row r="91" spans="22:22" x14ac:dyDescent="0.2">
      <c r="V91" s="197"/>
    </row>
    <row r="92" spans="22:22" x14ac:dyDescent="0.2">
      <c r="V92" s="197"/>
    </row>
    <row r="93" spans="22:22" x14ac:dyDescent="0.2">
      <c r="V93" s="197"/>
    </row>
    <row r="94" spans="22:22" x14ac:dyDescent="0.2">
      <c r="V94" s="197"/>
    </row>
    <row r="95" spans="22:22" x14ac:dyDescent="0.2">
      <c r="V95" s="197"/>
    </row>
    <row r="96" spans="22:22" x14ac:dyDescent="0.2">
      <c r="V96" s="197"/>
    </row>
    <row r="97" spans="22:22" x14ac:dyDescent="0.2">
      <c r="V97" s="197"/>
    </row>
    <row r="98" spans="22:22" x14ac:dyDescent="0.2">
      <c r="V98" s="197"/>
    </row>
    <row r="99" spans="22:22" x14ac:dyDescent="0.2">
      <c r="V99" s="197"/>
    </row>
    <row r="100" spans="22:22" x14ac:dyDescent="0.2">
      <c r="V100" s="197"/>
    </row>
    <row r="101" spans="22:22" x14ac:dyDescent="0.2">
      <c r="V101" s="197"/>
    </row>
    <row r="102" spans="22:22" x14ac:dyDescent="0.2">
      <c r="V102" s="197"/>
    </row>
    <row r="103" spans="22:22" x14ac:dyDescent="0.2">
      <c r="V103" s="197"/>
    </row>
    <row r="104" spans="22:22" x14ac:dyDescent="0.2">
      <c r="V104" s="197"/>
    </row>
    <row r="105" spans="22:22" x14ac:dyDescent="0.2">
      <c r="V105" s="197"/>
    </row>
    <row r="106" spans="22:22" x14ac:dyDescent="0.2">
      <c r="V106" s="197"/>
    </row>
    <row r="107" spans="22:22" x14ac:dyDescent="0.2">
      <c r="V107" s="197"/>
    </row>
    <row r="108" spans="22:22" x14ac:dyDescent="0.2">
      <c r="V108" s="197"/>
    </row>
    <row r="109" spans="22:22" x14ac:dyDescent="0.2">
      <c r="V109" s="197"/>
    </row>
    <row r="110" spans="22:22" x14ac:dyDescent="0.2">
      <c r="V110" s="197"/>
    </row>
    <row r="111" spans="22:22" x14ac:dyDescent="0.2">
      <c r="V111" s="197"/>
    </row>
    <row r="112" spans="22:22" x14ac:dyDescent="0.2">
      <c r="V112" s="197"/>
    </row>
    <row r="113" spans="22:22" x14ac:dyDescent="0.2">
      <c r="V113" s="197"/>
    </row>
    <row r="114" spans="22:22" x14ac:dyDescent="0.2">
      <c r="V114" s="197"/>
    </row>
    <row r="115" spans="22:22" x14ac:dyDescent="0.2">
      <c r="V115" s="197"/>
    </row>
    <row r="116" spans="22:22" x14ac:dyDescent="0.2">
      <c r="V116" s="197"/>
    </row>
    <row r="117" spans="22:22" x14ac:dyDescent="0.2">
      <c r="V117" s="197"/>
    </row>
    <row r="118" spans="22:22" x14ac:dyDescent="0.2">
      <c r="V118" s="197"/>
    </row>
    <row r="119" spans="22:22" x14ac:dyDescent="0.2">
      <c r="V119" s="197"/>
    </row>
    <row r="120" spans="22:22" x14ac:dyDescent="0.2">
      <c r="V120" s="197"/>
    </row>
    <row r="121" spans="22:22" x14ac:dyDescent="0.2">
      <c r="V121" s="197"/>
    </row>
    <row r="122" spans="22:22" x14ac:dyDescent="0.2">
      <c r="V122" s="197"/>
    </row>
    <row r="123" spans="22:22" x14ac:dyDescent="0.2">
      <c r="V123" s="197"/>
    </row>
    <row r="124" spans="22:22" x14ac:dyDescent="0.2">
      <c r="V124" s="197"/>
    </row>
    <row r="125" spans="22:22" x14ac:dyDescent="0.2">
      <c r="V125" s="197"/>
    </row>
    <row r="126" spans="22:22" x14ac:dyDescent="0.2">
      <c r="V126" s="197"/>
    </row>
    <row r="127" spans="22:22" x14ac:dyDescent="0.2">
      <c r="V127" s="197"/>
    </row>
    <row r="128" spans="22:22" x14ac:dyDescent="0.2">
      <c r="V128" s="197"/>
    </row>
    <row r="129" spans="22:22" x14ac:dyDescent="0.2">
      <c r="V129" s="197"/>
    </row>
    <row r="130" spans="22:22" x14ac:dyDescent="0.2">
      <c r="V130" s="197"/>
    </row>
    <row r="131" spans="22:22" x14ac:dyDescent="0.2">
      <c r="V131" s="197"/>
    </row>
    <row r="132" spans="22:22" x14ac:dyDescent="0.2">
      <c r="V132" s="197"/>
    </row>
    <row r="133" spans="22:22" x14ac:dyDescent="0.2">
      <c r="V133" s="197"/>
    </row>
    <row r="134" spans="22:22" x14ac:dyDescent="0.2">
      <c r="V134" s="197"/>
    </row>
    <row r="135" spans="22:22" x14ac:dyDescent="0.2">
      <c r="V135" s="197"/>
    </row>
    <row r="136" spans="22:22" x14ac:dyDescent="0.2">
      <c r="V136" s="197"/>
    </row>
    <row r="137" spans="22:22" x14ac:dyDescent="0.2">
      <c r="V137" s="197"/>
    </row>
    <row r="138" spans="22:22" x14ac:dyDescent="0.2">
      <c r="V138" s="197"/>
    </row>
    <row r="139" spans="22:22" x14ac:dyDescent="0.2">
      <c r="V139" s="197"/>
    </row>
    <row r="140" spans="22:22" x14ac:dyDescent="0.2">
      <c r="V140" s="197"/>
    </row>
    <row r="141" spans="22:22" x14ac:dyDescent="0.2">
      <c r="V141" s="197"/>
    </row>
    <row r="142" spans="22:22" x14ac:dyDescent="0.2">
      <c r="V142" s="197"/>
    </row>
    <row r="143" spans="22:22" x14ac:dyDescent="0.2">
      <c r="V143" s="197"/>
    </row>
    <row r="144" spans="22:22" x14ac:dyDescent="0.2">
      <c r="V144" s="197"/>
    </row>
    <row r="145" spans="22:22" x14ac:dyDescent="0.2">
      <c r="V145" s="197"/>
    </row>
    <row r="146" spans="22:22" x14ac:dyDescent="0.2">
      <c r="V146" s="197"/>
    </row>
    <row r="147" spans="22:22" x14ac:dyDescent="0.2">
      <c r="V147" s="197"/>
    </row>
    <row r="148" spans="22:22" x14ac:dyDescent="0.2">
      <c r="V148" s="197"/>
    </row>
    <row r="149" spans="22:22" x14ac:dyDescent="0.2">
      <c r="V149" s="197"/>
    </row>
    <row r="150" spans="22:22" x14ac:dyDescent="0.2">
      <c r="V150" s="197"/>
    </row>
    <row r="151" spans="22:22" x14ac:dyDescent="0.2">
      <c r="V151" s="197"/>
    </row>
    <row r="152" spans="22:22" x14ac:dyDescent="0.2">
      <c r="V152" s="197"/>
    </row>
    <row r="153" spans="22:22" x14ac:dyDescent="0.2">
      <c r="V153" s="197"/>
    </row>
    <row r="154" spans="22:22" x14ac:dyDescent="0.2">
      <c r="V154" s="197"/>
    </row>
    <row r="155" spans="22:22" x14ac:dyDescent="0.2">
      <c r="V155" s="197"/>
    </row>
    <row r="156" spans="22:22" x14ac:dyDescent="0.2">
      <c r="V156" s="197"/>
    </row>
    <row r="157" spans="22:22" x14ac:dyDescent="0.2">
      <c r="V157" s="197"/>
    </row>
    <row r="158" spans="22:22" x14ac:dyDescent="0.2">
      <c r="V158" s="197"/>
    </row>
    <row r="159" spans="22:22" x14ac:dyDescent="0.2">
      <c r="V159" s="197"/>
    </row>
    <row r="160" spans="22:22" x14ac:dyDescent="0.2">
      <c r="V160" s="197"/>
    </row>
    <row r="161" spans="22:22" x14ac:dyDescent="0.2">
      <c r="V161" s="197"/>
    </row>
    <row r="162" spans="22:22" x14ac:dyDescent="0.2">
      <c r="V162" s="197"/>
    </row>
    <row r="163" spans="22:22" x14ac:dyDescent="0.2">
      <c r="V163" s="197"/>
    </row>
    <row r="164" spans="22:22" x14ac:dyDescent="0.2">
      <c r="V164" s="197"/>
    </row>
    <row r="165" spans="22:22" x14ac:dyDescent="0.2">
      <c r="V165" s="197"/>
    </row>
    <row r="166" spans="22:22" x14ac:dyDescent="0.2">
      <c r="V166" s="197"/>
    </row>
    <row r="167" spans="22:22" x14ac:dyDescent="0.2">
      <c r="V167" s="197"/>
    </row>
    <row r="168" spans="22:22" x14ac:dyDescent="0.2">
      <c r="V168" s="197"/>
    </row>
    <row r="169" spans="22:22" x14ac:dyDescent="0.2">
      <c r="V169" s="197"/>
    </row>
    <row r="170" spans="22:22" x14ac:dyDescent="0.2">
      <c r="V170" s="197"/>
    </row>
    <row r="171" spans="22:22" x14ac:dyDescent="0.2">
      <c r="V171" s="197"/>
    </row>
    <row r="172" spans="22:22" x14ac:dyDescent="0.2">
      <c r="V172" s="197"/>
    </row>
    <row r="173" spans="22:22" x14ac:dyDescent="0.2">
      <c r="V173" s="197"/>
    </row>
    <row r="174" spans="22:22" x14ac:dyDescent="0.2">
      <c r="V174" s="197"/>
    </row>
    <row r="175" spans="22:22" x14ac:dyDescent="0.2">
      <c r="V175" s="197"/>
    </row>
    <row r="176" spans="22:22" x14ac:dyDescent="0.2">
      <c r="V176" s="197"/>
    </row>
    <row r="177" spans="1:27" x14ac:dyDescent="0.2">
      <c r="V177" s="197"/>
    </row>
    <row r="178" spans="1:27" x14ac:dyDescent="0.2">
      <c r="V178" s="197"/>
    </row>
    <row r="179" spans="1:27" x14ac:dyDescent="0.2">
      <c r="V179" s="197"/>
    </row>
    <row r="180" spans="1:27" x14ac:dyDescent="0.2">
      <c r="V180" s="197"/>
    </row>
    <row r="181" spans="1:27" ht="15" thickBot="1" x14ac:dyDescent="0.25">
      <c r="V181" s="197"/>
    </row>
    <row r="182" spans="1:27" ht="15" thickBot="1" x14ac:dyDescent="0.25">
      <c r="A182" s="765" t="s">
        <v>408</v>
      </c>
      <c r="B182" s="768" t="s">
        <v>409</v>
      </c>
      <c r="C182" s="769"/>
      <c r="D182" s="769"/>
      <c r="E182" s="769"/>
      <c r="F182" s="769"/>
      <c r="G182" s="769"/>
      <c r="H182" s="769"/>
      <c r="I182" s="769"/>
      <c r="J182" s="769"/>
      <c r="K182" s="769"/>
      <c r="L182" s="769"/>
      <c r="M182" s="769"/>
      <c r="N182" s="769"/>
      <c r="O182" s="769"/>
      <c r="P182" s="769"/>
      <c r="Q182" s="769"/>
      <c r="R182" s="769"/>
      <c r="S182" s="769"/>
      <c r="T182" s="769"/>
      <c r="U182" s="769"/>
      <c r="V182" s="769"/>
      <c r="W182" s="769"/>
      <c r="X182" s="769"/>
      <c r="Y182" s="769"/>
      <c r="Z182" s="769"/>
      <c r="AA182" s="770"/>
    </row>
    <row r="183" spans="1:27" ht="15" thickBot="1" x14ac:dyDescent="0.25">
      <c r="A183" s="766"/>
      <c r="B183" s="414"/>
      <c r="C183" s="415"/>
      <c r="D183" s="416"/>
      <c r="E183" s="415"/>
      <c r="F183" s="415"/>
      <c r="G183" s="415"/>
      <c r="H183" s="415"/>
      <c r="I183" s="415"/>
      <c r="J183" s="415"/>
      <c r="K183" s="415"/>
      <c r="L183" s="415"/>
      <c r="M183" s="415"/>
      <c r="N183" s="415"/>
      <c r="O183" s="415"/>
      <c r="P183" s="415"/>
      <c r="Q183" s="415"/>
      <c r="R183" s="415"/>
      <c r="S183" s="417"/>
      <c r="T183" s="418"/>
      <c r="U183" s="418"/>
      <c r="V183" s="419" t="s">
        <v>410</v>
      </c>
      <c r="W183" s="38"/>
      <c r="X183" s="39"/>
      <c r="Y183" s="420"/>
      <c r="Z183" s="421"/>
      <c r="AA183" s="422"/>
    </row>
    <row r="184" spans="1:27" x14ac:dyDescent="0.2">
      <c r="A184" s="766"/>
      <c r="B184" s="423"/>
      <c r="C184" s="424"/>
      <c r="D184" s="425"/>
      <c r="E184" s="424"/>
      <c r="F184" s="424"/>
      <c r="G184" s="424"/>
      <c r="H184" s="424"/>
      <c r="I184" s="424"/>
      <c r="J184" s="424"/>
      <c r="K184" s="424"/>
      <c r="L184" s="424"/>
      <c r="M184" s="424"/>
      <c r="N184" s="424"/>
      <c r="O184" s="424"/>
      <c r="P184" s="424"/>
      <c r="Q184" s="424"/>
      <c r="R184" s="424"/>
      <c r="S184" s="426"/>
      <c r="T184" s="427"/>
      <c r="U184" s="427"/>
      <c r="V184" s="428" t="s">
        <v>411</v>
      </c>
      <c r="W184" s="429"/>
      <c r="X184" s="430"/>
      <c r="Y184" s="431"/>
      <c r="Z184" s="432"/>
      <c r="AA184" s="433"/>
    </row>
    <row r="185" spans="1:27" x14ac:dyDescent="0.2">
      <c r="A185" s="766"/>
      <c r="B185" s="434"/>
      <c r="C185" s="435"/>
      <c r="D185" s="436"/>
      <c r="E185" s="435"/>
      <c r="F185" s="435"/>
      <c r="G185" s="435"/>
      <c r="H185" s="435"/>
      <c r="I185" s="435"/>
      <c r="J185" s="435"/>
      <c r="K185" s="435"/>
      <c r="L185" s="435"/>
      <c r="M185" s="435"/>
      <c r="N185" s="435"/>
      <c r="O185" s="435"/>
      <c r="P185" s="435"/>
      <c r="Q185" s="435"/>
      <c r="R185" s="435"/>
      <c r="S185" s="437"/>
      <c r="T185" s="438"/>
      <c r="U185" s="438"/>
      <c r="V185" s="439" t="s">
        <v>412</v>
      </c>
      <c r="W185" s="19"/>
      <c r="X185" s="20"/>
      <c r="Y185" s="440"/>
      <c r="Z185" s="441"/>
      <c r="AA185" s="422"/>
    </row>
    <row r="186" spans="1:27" ht="15" thickBot="1" x14ac:dyDescent="0.25">
      <c r="A186" s="766"/>
      <c r="B186" s="442"/>
      <c r="C186" s="443"/>
      <c r="D186" s="444"/>
      <c r="E186" s="443"/>
      <c r="F186" s="443"/>
      <c r="G186" s="443"/>
      <c r="H186" s="443"/>
      <c r="I186" s="443"/>
      <c r="J186" s="443"/>
      <c r="K186" s="443"/>
      <c r="L186" s="443"/>
      <c r="M186" s="443"/>
      <c r="N186" s="443"/>
      <c r="O186" s="443"/>
      <c r="P186" s="443"/>
      <c r="Q186" s="443"/>
      <c r="R186" s="443"/>
      <c r="S186" s="445"/>
      <c r="T186" s="446"/>
      <c r="U186" s="446"/>
      <c r="V186" s="447" t="s">
        <v>413</v>
      </c>
      <c r="W186" s="43"/>
      <c r="X186" s="44"/>
      <c r="Y186" s="448"/>
      <c r="Z186" s="449"/>
      <c r="AA186" s="450"/>
    </row>
    <row r="187" spans="1:27" ht="15" thickBot="1" x14ac:dyDescent="0.25">
      <c r="A187" s="767"/>
      <c r="B187" s="451"/>
      <c r="C187" s="452"/>
      <c r="D187" s="453"/>
      <c r="E187" s="452"/>
      <c r="F187" s="452"/>
      <c r="G187" s="452"/>
      <c r="H187" s="452"/>
      <c r="I187" s="452"/>
      <c r="J187" s="452"/>
      <c r="K187" s="452"/>
      <c r="L187" s="452"/>
      <c r="M187" s="452"/>
      <c r="N187" s="452"/>
      <c r="O187" s="452"/>
      <c r="P187" s="452"/>
      <c r="Q187" s="452"/>
      <c r="R187" s="452"/>
      <c r="S187" s="454"/>
      <c r="T187" s="455"/>
      <c r="U187" s="455"/>
      <c r="V187" s="456" t="s">
        <v>414</v>
      </c>
      <c r="W187" s="457"/>
      <c r="X187" s="458"/>
      <c r="Y187" s="459"/>
      <c r="Z187" s="460"/>
      <c r="AA187" s="461"/>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1D8A8-4DA8-41C9-89A9-93A1980873F5}">
  <sheetPr codeName="Ark13">
    <tabColor rgb="FF92D050"/>
  </sheetPr>
  <dimension ref="A1:AX91"/>
  <sheetViews>
    <sheetView showGridLines="0" topLeftCell="G2" zoomScale="85" zoomScaleNormal="85" workbookViewId="0">
      <selection activeCell="X26" sqref="X26"/>
    </sheetView>
  </sheetViews>
  <sheetFormatPr defaultColWidth="8.7109375" defaultRowHeight="14.25" x14ac:dyDescent="0.2"/>
  <cols>
    <col min="1" max="1" width="8.7109375" style="197"/>
    <col min="2" max="2" width="12.5703125" style="197" bestFit="1" customWidth="1"/>
    <col min="3" max="5" width="8.7109375" style="197"/>
    <col min="6" max="6" width="9.5703125" style="197" customWidth="1"/>
    <col min="7" max="15" width="8.7109375" style="197"/>
    <col min="16" max="16" width="12.5703125" style="197" bestFit="1" customWidth="1"/>
    <col min="17" max="17" width="9" style="197" customWidth="1"/>
    <col min="18" max="20" width="8.7109375" style="197" customWidth="1"/>
    <col min="21" max="21" width="5.7109375" style="197" customWidth="1"/>
    <col min="22" max="22" width="7" style="197" customWidth="1"/>
    <col min="23" max="23" width="12.85546875" style="197" bestFit="1" customWidth="1"/>
    <col min="24" max="25" width="12.5703125" style="197" bestFit="1" customWidth="1"/>
    <col min="26" max="26" width="36.42578125" style="201" customWidth="1"/>
    <col min="27" max="27" width="12.7109375" style="197" customWidth="1"/>
    <col min="28" max="28" width="8.7109375" style="197"/>
    <col min="29" max="29" width="13.5703125" style="462" bestFit="1" customWidth="1"/>
    <col min="30" max="30" width="12.28515625" style="197" bestFit="1" customWidth="1"/>
    <col min="31" max="31" width="14.42578125" style="413" customWidth="1"/>
    <col min="32" max="42" width="9.28515625" style="197" customWidth="1"/>
    <col min="43" max="43" width="14" style="197" customWidth="1"/>
    <col min="44" max="50" width="9.28515625" style="197" customWidth="1"/>
    <col min="51" max="16384" width="8.7109375" style="201"/>
  </cols>
  <sheetData>
    <row r="1" spans="1:43" s="197" customFormat="1" ht="15" thickBot="1" x14ac:dyDescent="0.25">
      <c r="AC1" s="462"/>
      <c r="AE1" s="413"/>
    </row>
    <row r="2" spans="1:43" s="197" customFormat="1" ht="15" x14ac:dyDescent="0.2">
      <c r="B2" s="780" t="s">
        <v>417</v>
      </c>
      <c r="C2" s="781"/>
      <c r="D2" s="781"/>
      <c r="E2" s="781"/>
      <c r="F2" s="341">
        <v>2018</v>
      </c>
      <c r="Z2" s="463" t="s">
        <v>237</v>
      </c>
      <c r="AC2" s="462"/>
      <c r="AE2" s="413"/>
    </row>
    <row r="3" spans="1:43" s="197" customFormat="1" ht="28.5" thickBot="1" x14ac:dyDescent="0.35">
      <c r="B3" s="774" t="s">
        <v>418</v>
      </c>
      <c r="C3" s="775"/>
      <c r="D3" s="343" t="s">
        <v>419</v>
      </c>
      <c r="E3" s="464" t="s">
        <v>420</v>
      </c>
      <c r="F3" s="465" t="s">
        <v>468</v>
      </c>
      <c r="Z3" s="347" t="s">
        <v>368</v>
      </c>
      <c r="AC3" s="462"/>
      <c r="AE3" s="413"/>
    </row>
    <row r="4" spans="1:43" s="197" customFormat="1" ht="20.25" x14ac:dyDescent="0.25">
      <c r="L4" s="466"/>
      <c r="Z4" s="669" t="str">
        <f>'[1]Planteavl,2018'!Z4</f>
        <v xml:space="preserve">Skive kommune </v>
      </c>
      <c r="AC4" s="462"/>
      <c r="AE4" s="413"/>
    </row>
    <row r="5" spans="1:43" s="197" customFormat="1" x14ac:dyDescent="0.2">
      <c r="B5" s="10"/>
      <c r="C5" s="10"/>
      <c r="D5" s="10"/>
      <c r="E5" s="467"/>
      <c r="F5" s="10"/>
      <c r="AC5" s="462"/>
      <c r="AE5" s="413"/>
    </row>
    <row r="6" spans="1:43" s="197" customFormat="1" ht="21" customHeight="1" x14ac:dyDescent="0.4">
      <c r="B6" s="10"/>
      <c r="C6" s="468"/>
      <c r="D6" s="469"/>
      <c r="E6" s="467"/>
      <c r="F6" s="10"/>
      <c r="AC6" s="462"/>
      <c r="AE6" s="413"/>
    </row>
    <row r="7" spans="1:43" s="197" customFormat="1" ht="63" customHeight="1" thickBot="1" x14ac:dyDescent="0.25">
      <c r="B7" s="782" t="s">
        <v>421</v>
      </c>
      <c r="C7" s="783"/>
      <c r="D7" s="783"/>
      <c r="E7" s="783"/>
      <c r="F7" s="783"/>
      <c r="G7" s="783"/>
      <c r="H7" s="783"/>
      <c r="I7" s="783"/>
      <c r="J7" s="783"/>
      <c r="K7" s="783"/>
      <c r="L7" s="783"/>
      <c r="M7" s="783"/>
      <c r="N7" s="783"/>
      <c r="O7" s="783"/>
      <c r="P7" s="783"/>
      <c r="Q7" s="783"/>
      <c r="R7" s="783"/>
      <c r="S7" s="783"/>
      <c r="T7" s="783"/>
      <c r="U7" s="784"/>
      <c r="V7" s="470" t="s">
        <v>422</v>
      </c>
      <c r="W7" s="471" t="s">
        <v>247</v>
      </c>
      <c r="X7" s="470" t="s">
        <v>422</v>
      </c>
      <c r="Y7" s="470" t="s">
        <v>423</v>
      </c>
      <c r="Z7" s="472" t="s">
        <v>372</v>
      </c>
      <c r="AA7" s="785" t="s">
        <v>373</v>
      </c>
      <c r="AB7" s="786"/>
      <c r="AC7" s="786"/>
      <c r="AD7" s="786"/>
      <c r="AE7" s="787"/>
    </row>
    <row r="8" spans="1:43" s="197" customFormat="1" ht="295.5" customHeight="1" thickBot="1" x14ac:dyDescent="0.25">
      <c r="B8" s="473" t="s">
        <v>301</v>
      </c>
      <c r="C8" s="474" t="s">
        <v>596</v>
      </c>
      <c r="D8" s="474" t="s">
        <v>302</v>
      </c>
      <c r="E8" s="474" t="s">
        <v>303</v>
      </c>
      <c r="F8" s="474" t="s">
        <v>304</v>
      </c>
      <c r="G8" s="474" t="s">
        <v>305</v>
      </c>
      <c r="H8" s="474" t="s">
        <v>306</v>
      </c>
      <c r="I8" s="474" t="s">
        <v>307</v>
      </c>
      <c r="J8" s="474" t="s">
        <v>308</v>
      </c>
      <c r="K8" s="474" t="s">
        <v>309</v>
      </c>
      <c r="L8" s="474" t="s">
        <v>310</v>
      </c>
      <c r="M8" s="474" t="s">
        <v>424</v>
      </c>
      <c r="N8" s="475" t="s">
        <v>312</v>
      </c>
      <c r="O8" s="474" t="s">
        <v>425</v>
      </c>
      <c r="P8" s="475" t="s">
        <v>314</v>
      </c>
      <c r="Q8" s="474" t="s">
        <v>315</v>
      </c>
      <c r="R8" s="474" t="s">
        <v>426</v>
      </c>
      <c r="S8" s="474" t="s">
        <v>427</v>
      </c>
      <c r="T8" s="474" t="s">
        <v>428</v>
      </c>
      <c r="U8" s="476" t="s">
        <v>429</v>
      </c>
      <c r="V8" s="477" t="s">
        <v>430</v>
      </c>
      <c r="W8" s="477" t="s">
        <v>431</v>
      </c>
      <c r="X8" s="477" t="s">
        <v>432</v>
      </c>
      <c r="Y8" s="478" t="s">
        <v>433</v>
      </c>
      <c r="Z8" s="479"/>
      <c r="AA8" s="480" t="s">
        <v>434</v>
      </c>
      <c r="AB8" s="474" t="s">
        <v>435</v>
      </c>
      <c r="AC8" s="481" t="s">
        <v>394</v>
      </c>
      <c r="AD8" s="474" t="s">
        <v>436</v>
      </c>
      <c r="AE8" s="482" t="s">
        <v>396</v>
      </c>
    </row>
    <row r="9" spans="1:43" s="197" customFormat="1" ht="14.65" customHeight="1" thickBot="1" x14ac:dyDescent="0.25">
      <c r="A9" s="483"/>
      <c r="B9" s="484"/>
      <c r="C9" s="485"/>
      <c r="D9" s="485"/>
      <c r="E9" s="485"/>
      <c r="F9" s="485"/>
      <c r="G9" s="485"/>
      <c r="H9" s="485"/>
      <c r="I9" s="485"/>
      <c r="J9" s="485"/>
      <c r="K9" s="485"/>
      <c r="L9" s="485"/>
      <c r="M9" s="485"/>
      <c r="N9" s="485"/>
      <c r="O9" s="485"/>
      <c r="P9" s="485"/>
      <c r="Q9" s="485"/>
      <c r="R9" s="485"/>
      <c r="S9" s="485"/>
      <c r="T9" s="485"/>
      <c r="U9" s="486"/>
      <c r="V9" s="487"/>
      <c r="W9" s="487"/>
      <c r="X9" s="487"/>
      <c r="Y9" s="488"/>
      <c r="Z9" s="489" t="s">
        <v>437</v>
      </c>
      <c r="AA9" s="490"/>
      <c r="AB9" s="485"/>
      <c r="AC9" s="485"/>
      <c r="AD9" s="485"/>
      <c r="AE9" s="491"/>
      <c r="AK9" s="197" t="s">
        <v>438</v>
      </c>
    </row>
    <row r="10" spans="1:43" s="197" customFormat="1" ht="14.65" customHeight="1" x14ac:dyDescent="0.25">
      <c r="A10" s="483"/>
      <c r="B10" s="711">
        <v>8848.49</v>
      </c>
      <c r="C10" s="338">
        <v>149.26999999999998</v>
      </c>
      <c r="D10" s="338">
        <v>1902.6799999999998</v>
      </c>
      <c r="E10" s="338">
        <v>2331.62</v>
      </c>
      <c r="F10" s="338">
        <v>10208.029999999999</v>
      </c>
      <c r="G10" s="338">
        <v>1722.72</v>
      </c>
      <c r="H10" s="338">
        <v>77.97</v>
      </c>
      <c r="I10" s="338">
        <v>12.97</v>
      </c>
      <c r="J10" s="338">
        <v>586.62</v>
      </c>
      <c r="K10" s="338">
        <v>0.9</v>
      </c>
      <c r="L10" s="338">
        <v>588.1099999999999</v>
      </c>
      <c r="M10" s="338">
        <v>108.67</v>
      </c>
      <c r="N10" s="338">
        <v>4233.62</v>
      </c>
      <c r="O10" s="338">
        <v>6248.89</v>
      </c>
      <c r="P10" s="338">
        <v>3553.61</v>
      </c>
      <c r="Q10" s="338">
        <v>3176.6200000000003</v>
      </c>
      <c r="R10" s="203"/>
      <c r="S10" s="203"/>
      <c r="T10" s="203"/>
      <c r="U10" s="493"/>
      <c r="V10" s="494"/>
      <c r="W10" s="494"/>
      <c r="X10" s="494"/>
      <c r="Y10" s="495"/>
      <c r="Z10" s="128" t="s">
        <v>318</v>
      </c>
      <c r="AA10" s="496"/>
      <c r="AB10" s="203"/>
      <c r="AC10" s="203">
        <f>(B10*AQ10+C10*AQ11+D10*AQ12+E10*AQ13+F10*AQ14+G10*AQ15+H10*AQ16+I10*AQ17+J10*AQ18+K10*AQ19+L10*AQ20+M10*AQ21+N10*AQ22+O10*AQ23+P10*AQ24)*0.01*44/28</f>
        <v>33.696714048034735</v>
      </c>
      <c r="AD10" s="203"/>
      <c r="AE10" s="229">
        <f>AA10+AB10*'Grafer-klima'!$O$9+Planteavl2018!AC10*'Grafer-klima'!$P$9</f>
        <v>10041.620786314352</v>
      </c>
      <c r="AG10" s="413"/>
      <c r="AK10" s="788" t="s">
        <v>439</v>
      </c>
      <c r="AL10" s="789"/>
      <c r="AM10" s="789"/>
      <c r="AN10" s="789"/>
      <c r="AO10" s="789"/>
      <c r="AP10" s="789"/>
      <c r="AQ10" s="497">
        <v>4.8758145000000003E-2</v>
      </c>
    </row>
    <row r="11" spans="1:43" s="197" customFormat="1" ht="14.65" customHeight="1" thickBot="1" x14ac:dyDescent="0.3">
      <c r="A11" s="483"/>
      <c r="B11" s="381"/>
      <c r="C11" s="382"/>
      <c r="D11" s="382"/>
      <c r="E11" s="382"/>
      <c r="F11" s="382"/>
      <c r="G11" s="382"/>
      <c r="H11" s="382"/>
      <c r="I11" s="382"/>
      <c r="J11" s="382"/>
      <c r="K11" s="382"/>
      <c r="L11" s="382"/>
      <c r="M11" s="382"/>
      <c r="N11" s="382"/>
      <c r="O11" s="382"/>
      <c r="P11" s="382"/>
      <c r="Q11" s="382"/>
      <c r="R11" s="382"/>
      <c r="S11" s="382"/>
      <c r="T11" s="382"/>
      <c r="U11" s="498"/>
      <c r="V11" s="499"/>
      <c r="W11" s="500"/>
      <c r="X11" s="500"/>
      <c r="Y11" s="501"/>
      <c r="Z11" s="135" t="s">
        <v>319</v>
      </c>
      <c r="AA11" s="502"/>
      <c r="AB11" s="382"/>
      <c r="AC11" s="382"/>
      <c r="AD11" s="382">
        <f>((X11*48)+(X11*-733))/1000</f>
        <v>0</v>
      </c>
      <c r="AE11" s="229">
        <f>AA11+AB11*'Grafer-klima'!$O$9+Planteavl2018!AC11*'Grafer-klima'!$P$9</f>
        <v>0</v>
      </c>
      <c r="AI11" s="413"/>
      <c r="AK11" s="503" t="s">
        <v>440</v>
      </c>
      <c r="AL11" s="504"/>
      <c r="AM11" s="504"/>
      <c r="AN11" s="504"/>
      <c r="AO11" s="504"/>
      <c r="AP11" s="504"/>
      <c r="AQ11" s="505">
        <v>3.3667559999999999E-2</v>
      </c>
    </row>
    <row r="12" spans="1:43" s="197" customFormat="1" ht="14.65" customHeight="1" x14ac:dyDescent="0.35">
      <c r="A12" s="483"/>
      <c r="B12" s="506"/>
      <c r="C12" s="507"/>
      <c r="D12" s="507"/>
      <c r="E12" s="507"/>
      <c r="F12" s="507"/>
      <c r="G12" s="507"/>
      <c r="H12" s="507"/>
      <c r="I12" s="507"/>
      <c r="J12" s="507"/>
      <c r="K12" s="507"/>
      <c r="L12" s="507"/>
      <c r="M12" s="507"/>
      <c r="N12" s="507"/>
      <c r="O12" s="507"/>
      <c r="P12" s="507"/>
      <c r="Q12" s="507"/>
      <c r="R12" s="507"/>
      <c r="S12" s="507"/>
      <c r="T12" s="507"/>
      <c r="U12" s="507"/>
      <c r="V12" s="508"/>
      <c r="W12" s="508"/>
      <c r="X12" s="508"/>
      <c r="Y12" s="507"/>
      <c r="Z12" s="509" t="s">
        <v>441</v>
      </c>
      <c r="AA12" s="507"/>
      <c r="AB12" s="507"/>
      <c r="AC12" s="507"/>
      <c r="AD12" s="507"/>
      <c r="AE12" s="510"/>
      <c r="AK12" s="503" t="s">
        <v>442</v>
      </c>
      <c r="AL12" s="504"/>
      <c r="AM12" s="504"/>
      <c r="AN12" s="504"/>
      <c r="AO12" s="504"/>
      <c r="AP12" s="504"/>
      <c r="AQ12" s="505">
        <v>3.3652585000000006E-2</v>
      </c>
    </row>
    <row r="13" spans="1:43" s="197" customFormat="1" ht="15" x14ac:dyDescent="0.25">
      <c r="B13" s="511"/>
      <c r="C13" s="203"/>
      <c r="D13" s="203"/>
      <c r="E13" s="203"/>
      <c r="F13" s="203"/>
      <c r="G13" s="203"/>
      <c r="H13" s="203"/>
      <c r="I13" s="203"/>
      <c r="J13" s="203"/>
      <c r="K13" s="203"/>
      <c r="L13" s="203"/>
      <c r="M13" s="203"/>
      <c r="N13" s="203"/>
      <c r="O13" s="334"/>
      <c r="P13" s="712">
        <v>0</v>
      </c>
      <c r="Q13" s="334"/>
      <c r="R13" s="203"/>
      <c r="S13" s="203"/>
      <c r="T13" s="203"/>
      <c r="U13" s="493"/>
      <c r="V13" s="494"/>
      <c r="W13" s="494"/>
      <c r="X13" s="713">
        <v>31.113</v>
      </c>
      <c r="Y13" s="495"/>
      <c r="Z13" s="128" t="s">
        <v>443</v>
      </c>
      <c r="AA13" s="496"/>
      <c r="AB13" s="203"/>
      <c r="AC13" s="203">
        <f>X13*44/28</f>
        <v>48.891857142857141</v>
      </c>
      <c r="AD13" s="203"/>
      <c r="AE13" s="229">
        <f>AA13+AB13*'Grafer-klima'!$O$9+Planteavl2018!AC13*'Grafer-klima'!$P$9</f>
        <v>14569.773428571429</v>
      </c>
      <c r="AK13" s="503" t="s">
        <v>444</v>
      </c>
      <c r="AL13" s="504"/>
      <c r="AM13" s="504"/>
      <c r="AN13" s="504"/>
      <c r="AO13" s="504"/>
      <c r="AP13" s="504"/>
      <c r="AQ13" s="505">
        <v>4.3516480000000003E-2</v>
      </c>
    </row>
    <row r="14" spans="1:43" s="197" customFormat="1" ht="15" x14ac:dyDescent="0.25">
      <c r="A14" s="201"/>
      <c r="B14" s="376"/>
      <c r="C14" s="203"/>
      <c r="D14" s="203"/>
      <c r="E14" s="203"/>
      <c r="F14" s="203"/>
      <c r="G14" s="203"/>
      <c r="H14" s="203"/>
      <c r="I14" s="203"/>
      <c r="J14" s="203"/>
      <c r="K14" s="203"/>
      <c r="L14" s="203"/>
      <c r="M14" s="203"/>
      <c r="N14" s="203"/>
      <c r="O14" s="203"/>
      <c r="P14" s="338">
        <v>0</v>
      </c>
      <c r="Q14" s="203"/>
      <c r="R14" s="203"/>
      <c r="S14" s="203"/>
      <c r="T14" s="203"/>
      <c r="U14" s="493"/>
      <c r="V14" s="513"/>
      <c r="W14" s="713">
        <v>-444.06</v>
      </c>
      <c r="X14" s="713">
        <v>0</v>
      </c>
      <c r="Y14" s="495"/>
      <c r="Z14" s="128" t="s">
        <v>445</v>
      </c>
      <c r="AA14" s="496"/>
      <c r="AB14" s="203"/>
      <c r="AC14" s="203">
        <f>(W14*0.01*44/28)</f>
        <v>-6.9780857142857133</v>
      </c>
      <c r="AD14" s="203"/>
      <c r="AE14" s="229">
        <f>AA14+AB14*'Grafer-klima'!$O$9+Planteavl2018!AC14*'Grafer-klima'!$P$9</f>
        <v>-2079.4695428571426</v>
      </c>
      <c r="AK14" s="503" t="s">
        <v>446</v>
      </c>
      <c r="AL14" s="504"/>
      <c r="AM14" s="504"/>
      <c r="AN14" s="504"/>
      <c r="AO14" s="504"/>
      <c r="AP14" s="504"/>
      <c r="AQ14" s="505">
        <v>3.6757280000000003E-2</v>
      </c>
    </row>
    <row r="15" spans="1:43" s="197" customFormat="1" ht="14.65" customHeight="1" x14ac:dyDescent="0.25">
      <c r="A15" s="483"/>
      <c r="B15" s="376"/>
      <c r="C15" s="203"/>
      <c r="D15" s="203"/>
      <c r="E15" s="203"/>
      <c r="F15" s="203"/>
      <c r="G15" s="203"/>
      <c r="H15" s="203"/>
      <c r="I15" s="203"/>
      <c r="J15" s="203"/>
      <c r="K15" s="203"/>
      <c r="L15" s="203"/>
      <c r="M15" s="203"/>
      <c r="N15" s="203"/>
      <c r="O15" s="203"/>
      <c r="P15" s="338">
        <v>0</v>
      </c>
      <c r="Q15" s="203"/>
      <c r="R15" s="203"/>
      <c r="S15" s="203"/>
      <c r="T15" s="203"/>
      <c r="U15" s="493"/>
      <c r="V15" s="494"/>
      <c r="W15" s="494"/>
      <c r="X15" s="713">
        <v>3.8530000000000002</v>
      </c>
      <c r="Y15" s="495"/>
      <c r="Z15" s="128" t="s">
        <v>447</v>
      </c>
      <c r="AA15" s="496"/>
      <c r="AB15" s="203"/>
      <c r="AC15" s="203">
        <f>X15*0.01*44/28</f>
        <v>6.0547142857142862E-2</v>
      </c>
      <c r="AD15" s="203"/>
      <c r="AE15" s="229">
        <f>AA15+AB15*'Grafer-klima'!$O$9+Planteavl2018!AC15*'Grafer-klima'!$P$9</f>
        <v>18.043048571428574</v>
      </c>
      <c r="AJ15" s="413"/>
      <c r="AK15" s="503" t="s">
        <v>448</v>
      </c>
      <c r="AL15" s="504"/>
      <c r="AM15" s="504"/>
      <c r="AN15" s="504"/>
      <c r="AO15" s="504"/>
      <c r="AP15" s="504"/>
      <c r="AQ15" s="505">
        <v>2.5476140000000001E-2</v>
      </c>
    </row>
    <row r="16" spans="1:43" s="197" customFormat="1" ht="14.65" customHeight="1" x14ac:dyDescent="0.25">
      <c r="A16" s="483"/>
      <c r="B16" s="376"/>
      <c r="C16" s="203"/>
      <c r="D16" s="203"/>
      <c r="E16" s="203"/>
      <c r="F16" s="203"/>
      <c r="G16" s="203"/>
      <c r="H16" s="203"/>
      <c r="I16" s="203"/>
      <c r="J16" s="203"/>
      <c r="K16" s="203"/>
      <c r="L16" s="203"/>
      <c r="M16" s="203"/>
      <c r="N16" s="203"/>
      <c r="O16" s="203"/>
      <c r="P16" s="338">
        <v>0</v>
      </c>
      <c r="Q16" s="203"/>
      <c r="R16" s="203"/>
      <c r="S16" s="203"/>
      <c r="T16" s="203"/>
      <c r="U16" s="493"/>
      <c r="V16" s="513"/>
      <c r="W16" s="513"/>
      <c r="X16" s="713">
        <v>3713.049</v>
      </c>
      <c r="Y16" s="495"/>
      <c r="Z16" s="128" t="s">
        <v>449</v>
      </c>
      <c r="AA16" s="496"/>
      <c r="AB16" s="203"/>
      <c r="AC16" s="203">
        <f>X16*0.01*44/28</f>
        <v>58.347912857142866</v>
      </c>
      <c r="AD16" s="203"/>
      <c r="AE16" s="229">
        <f>AA16+AB16*'Grafer-klima'!$O$9+Planteavl2018!AC16*'Grafer-klima'!$P$9</f>
        <v>17387.678031428575</v>
      </c>
      <c r="AJ16" s="413"/>
      <c r="AK16" s="503" t="s">
        <v>450</v>
      </c>
      <c r="AL16" s="504"/>
      <c r="AM16" s="504"/>
      <c r="AN16" s="504"/>
      <c r="AO16" s="504"/>
      <c r="AP16" s="504"/>
      <c r="AQ16" s="505">
        <v>4.4355785000000002E-2</v>
      </c>
    </row>
    <row r="17" spans="1:43" s="197" customFormat="1" ht="14.65" customHeight="1" x14ac:dyDescent="0.25">
      <c r="A17" s="483"/>
      <c r="B17" s="376"/>
      <c r="C17" s="203"/>
      <c r="D17" s="203"/>
      <c r="E17" s="203"/>
      <c r="F17" s="203"/>
      <c r="G17" s="203"/>
      <c r="H17" s="203"/>
      <c r="I17" s="203"/>
      <c r="J17" s="203"/>
      <c r="K17" s="203"/>
      <c r="L17" s="203"/>
      <c r="M17" s="203"/>
      <c r="N17" s="203"/>
      <c r="O17" s="203"/>
      <c r="P17" s="338">
        <v>0</v>
      </c>
      <c r="Q17" s="203"/>
      <c r="R17" s="203"/>
      <c r="S17" s="203"/>
      <c r="T17" s="203"/>
      <c r="U17" s="493"/>
      <c r="V17" s="494"/>
      <c r="W17" s="494"/>
      <c r="X17" s="713">
        <v>5298.8779999999997</v>
      </c>
      <c r="Y17" s="495"/>
      <c r="Z17" s="128" t="s">
        <v>451</v>
      </c>
      <c r="AA17" s="496"/>
      <c r="AB17" s="203"/>
      <c r="AC17" s="203">
        <f>X17*0.01*44/28</f>
        <v>83.268082857142858</v>
      </c>
      <c r="AD17" s="203"/>
      <c r="AE17" s="229">
        <f>AA17+AB17*'Grafer-klima'!$O$9+Planteavl2018!AC17*'Grafer-klima'!$P$9</f>
        <v>24813.888691428572</v>
      </c>
      <c r="AI17" s="413"/>
      <c r="AK17" s="503" t="s">
        <v>452</v>
      </c>
      <c r="AL17" s="504"/>
      <c r="AM17" s="504"/>
      <c r="AN17" s="504"/>
      <c r="AO17" s="504"/>
      <c r="AP17" s="504"/>
      <c r="AQ17" s="505">
        <v>1.3454987999999999E-2</v>
      </c>
    </row>
    <row r="18" spans="1:43" s="197" customFormat="1" ht="14.65" customHeight="1" x14ac:dyDescent="0.25">
      <c r="A18" s="483"/>
      <c r="B18" s="376"/>
      <c r="C18" s="203"/>
      <c r="D18" s="203"/>
      <c r="E18" s="203"/>
      <c r="F18" s="203"/>
      <c r="G18" s="203"/>
      <c r="H18" s="203"/>
      <c r="I18" s="203"/>
      <c r="J18" s="203"/>
      <c r="K18" s="203"/>
      <c r="L18" s="203"/>
      <c r="M18" s="203"/>
      <c r="N18" s="203"/>
      <c r="O18" s="203"/>
      <c r="P18" s="338">
        <v>344.29300000000001</v>
      </c>
      <c r="Q18" s="203"/>
      <c r="R18" s="203"/>
      <c r="S18" s="203"/>
      <c r="T18" s="203"/>
      <c r="U18" s="493"/>
      <c r="V18" s="494"/>
      <c r="W18" s="494"/>
      <c r="X18" s="713">
        <v>0</v>
      </c>
      <c r="Y18" s="495"/>
      <c r="Z18" s="128" t="s">
        <v>453</v>
      </c>
      <c r="AA18" s="496"/>
      <c r="AB18" s="203"/>
      <c r="AC18" s="203">
        <f>P18*0.01802565903847*44/28</f>
        <v>9.7524557858073528</v>
      </c>
      <c r="AD18" s="203"/>
      <c r="AE18" s="229">
        <f>AA18+AB18*'Grafer-klima'!$O$9+Planteavl2018!AC18*'Grafer-klima'!$P$9</f>
        <v>2906.2318241705912</v>
      </c>
      <c r="AI18" s="413"/>
      <c r="AK18" s="503" t="s">
        <v>454</v>
      </c>
      <c r="AL18" s="504"/>
      <c r="AM18" s="504"/>
      <c r="AN18" s="504"/>
      <c r="AO18" s="504"/>
      <c r="AP18" s="504"/>
      <c r="AQ18" s="505">
        <v>3.361198E-2</v>
      </c>
    </row>
    <row r="19" spans="1:43" s="197" customFormat="1" ht="14.65" customHeight="1" x14ac:dyDescent="0.25">
      <c r="A19" s="483"/>
      <c r="B19" s="376"/>
      <c r="C19" s="203"/>
      <c r="D19" s="203"/>
      <c r="E19" s="203"/>
      <c r="F19" s="203"/>
      <c r="G19" s="203"/>
      <c r="H19" s="203"/>
      <c r="I19" s="203"/>
      <c r="J19" s="203"/>
      <c r="K19" s="203"/>
      <c r="L19" s="203"/>
      <c r="M19" s="203"/>
      <c r="N19" s="203"/>
      <c r="O19" s="203"/>
      <c r="P19" s="338">
        <v>758.35299999999995</v>
      </c>
      <c r="Q19" s="203"/>
      <c r="R19" s="203"/>
      <c r="S19" s="203"/>
      <c r="T19" s="203"/>
      <c r="U19" s="493"/>
      <c r="V19" s="512"/>
      <c r="W19" s="494"/>
      <c r="X19" s="494"/>
      <c r="Y19" s="495"/>
      <c r="Z19" s="128" t="s">
        <v>455</v>
      </c>
      <c r="AA19" s="496"/>
      <c r="AB19" s="203"/>
      <c r="AC19" s="203">
        <f>P19*0.01*44/28</f>
        <v>11.916975714285714</v>
      </c>
      <c r="AD19" s="203"/>
      <c r="AE19" s="229">
        <f>AA19+AB19*'Grafer-klima'!$O$9+Planteavl2018!AC19*'Grafer-klima'!$P$9</f>
        <v>3551.2587628571428</v>
      </c>
      <c r="AI19" s="413"/>
      <c r="AK19" s="503" t="s">
        <v>456</v>
      </c>
      <c r="AL19" s="504"/>
      <c r="AM19" s="504"/>
      <c r="AN19" s="504"/>
      <c r="AO19" s="504"/>
      <c r="AP19" s="504"/>
      <c r="AQ19" s="505">
        <v>7.7802725000000003E-2</v>
      </c>
    </row>
    <row r="20" spans="1:43" s="197" customFormat="1" ht="14.65" customHeight="1" x14ac:dyDescent="0.25">
      <c r="A20" s="483"/>
      <c r="B20" s="376"/>
      <c r="C20" s="203"/>
      <c r="D20" s="203"/>
      <c r="E20" s="203"/>
      <c r="F20" s="203"/>
      <c r="G20" s="203"/>
      <c r="H20" s="203"/>
      <c r="I20" s="203"/>
      <c r="J20" s="203"/>
      <c r="K20" s="203"/>
      <c r="L20" s="203"/>
      <c r="M20" s="203"/>
      <c r="N20" s="203"/>
      <c r="O20" s="203"/>
      <c r="P20" s="338">
        <v>2252.982</v>
      </c>
      <c r="Q20" s="203"/>
      <c r="R20" s="203"/>
      <c r="S20" s="203"/>
      <c r="T20" s="203"/>
      <c r="U20" s="493"/>
      <c r="V20" s="512"/>
      <c r="W20" s="494"/>
      <c r="X20" s="494"/>
      <c r="Y20" s="495"/>
      <c r="Z20" s="128" t="s">
        <v>457</v>
      </c>
      <c r="AA20" s="496"/>
      <c r="AB20" s="203"/>
      <c r="AC20" s="203">
        <f>P20*0.0075*44/28</f>
        <v>26.553002142857142</v>
      </c>
      <c r="AD20" s="203"/>
      <c r="AE20" s="229">
        <f>AA20+AB20*'Grafer-klima'!$O$9+Planteavl2018!AC20*'Grafer-klima'!$P$9</f>
        <v>7912.7946385714285</v>
      </c>
      <c r="AK20" s="503" t="s">
        <v>458</v>
      </c>
      <c r="AL20" s="504"/>
      <c r="AM20" s="504"/>
      <c r="AN20" s="504"/>
      <c r="AO20" s="504"/>
      <c r="AP20" s="504"/>
      <c r="AQ20" s="505">
        <v>2.5828534399999999E-2</v>
      </c>
    </row>
    <row r="21" spans="1:43" s="197" customFormat="1" ht="14.65" customHeight="1" x14ac:dyDescent="0.3">
      <c r="A21" s="483"/>
      <c r="B21" s="376"/>
      <c r="C21" s="203"/>
      <c r="D21" s="203"/>
      <c r="E21" s="203"/>
      <c r="F21" s="203"/>
      <c r="G21" s="203"/>
      <c r="H21" s="203"/>
      <c r="I21" s="203"/>
      <c r="J21" s="203"/>
      <c r="K21" s="203"/>
      <c r="L21" s="203"/>
      <c r="M21" s="203"/>
      <c r="N21" s="203"/>
      <c r="O21" s="203"/>
      <c r="P21" s="203"/>
      <c r="Q21" s="203"/>
      <c r="R21" s="203"/>
      <c r="S21" s="203"/>
      <c r="T21" s="203"/>
      <c r="U21" s="493"/>
      <c r="V21" s="494"/>
      <c r="W21" s="494"/>
      <c r="X21" s="494"/>
      <c r="Y21" s="714">
        <v>9062.9633261258605</v>
      </c>
      <c r="Z21" s="128" t="s">
        <v>459</v>
      </c>
      <c r="AA21" s="496">
        <f>Y21*0.12*44/12</f>
        <v>3987.7038634953783</v>
      </c>
      <c r="AB21" s="203"/>
      <c r="AC21" s="203"/>
      <c r="AD21" s="203"/>
      <c r="AE21" s="229">
        <f>AA21+AB21*'Grafer-klima'!$O$9+Planteavl2018!AC21*'Grafer-klima'!$P$9</f>
        <v>3987.7038634953783</v>
      </c>
      <c r="AK21" s="503" t="s">
        <v>460</v>
      </c>
      <c r="AL21" s="504"/>
      <c r="AM21" s="504"/>
      <c r="AN21" s="504"/>
      <c r="AO21" s="504"/>
      <c r="AP21" s="504"/>
      <c r="AQ21" s="505">
        <v>3.1998940000000003E-2</v>
      </c>
    </row>
    <row r="22" spans="1:43" s="197" customFormat="1" ht="14.65" customHeight="1" x14ac:dyDescent="0.25">
      <c r="A22" s="483"/>
      <c r="B22" s="376"/>
      <c r="C22" s="203"/>
      <c r="D22" s="203"/>
      <c r="E22" s="203"/>
      <c r="F22" s="203"/>
      <c r="G22" s="203"/>
      <c r="H22" s="203"/>
      <c r="I22" s="203"/>
      <c r="J22" s="203"/>
      <c r="K22" s="203"/>
      <c r="L22" s="203"/>
      <c r="M22" s="203"/>
      <c r="N22" s="203"/>
      <c r="O22" s="203"/>
      <c r="P22" s="203"/>
      <c r="Q22" s="203"/>
      <c r="R22" s="203"/>
      <c r="S22" s="203"/>
      <c r="T22" s="203"/>
      <c r="U22" s="493"/>
      <c r="V22" s="494"/>
      <c r="W22" s="494"/>
      <c r="X22" s="494"/>
      <c r="Y22" s="714">
        <v>31.577733771505137</v>
      </c>
      <c r="Z22" s="128" t="s">
        <v>327</v>
      </c>
      <c r="AA22" s="496">
        <f>Y22*0.2*44/12</f>
        <v>23.157004765770438</v>
      </c>
      <c r="AB22" s="203"/>
      <c r="AC22" s="203"/>
      <c r="AD22" s="203"/>
      <c r="AE22" s="229">
        <f>AA22+AB22*'Grafer-klima'!$O$9+Planteavl2018!AC22*'Grafer-klima'!$P$9</f>
        <v>23.157004765770438</v>
      </c>
      <c r="AK22" s="503" t="s">
        <v>461</v>
      </c>
      <c r="AL22" s="504"/>
      <c r="AM22" s="504"/>
      <c r="AN22" s="504"/>
      <c r="AO22" s="504"/>
      <c r="AP22" s="504"/>
      <c r="AQ22" s="505">
        <v>3.1216724000000001E-2</v>
      </c>
    </row>
    <row r="23" spans="1:43" s="197" customFormat="1" ht="14.65" customHeight="1" thickBot="1" x14ac:dyDescent="0.35">
      <c r="A23" s="483"/>
      <c r="B23" s="381"/>
      <c r="C23" s="382"/>
      <c r="D23" s="382"/>
      <c r="E23" s="382"/>
      <c r="F23" s="382"/>
      <c r="G23" s="382"/>
      <c r="H23" s="382"/>
      <c r="I23" s="382"/>
      <c r="J23" s="382"/>
      <c r="K23" s="382"/>
      <c r="L23" s="382"/>
      <c r="M23" s="382"/>
      <c r="N23" s="382"/>
      <c r="O23" s="382"/>
      <c r="P23" s="382"/>
      <c r="Q23" s="382"/>
      <c r="R23" s="382"/>
      <c r="S23" s="382"/>
      <c r="T23" s="382"/>
      <c r="U23" s="498"/>
      <c r="V23" s="500"/>
      <c r="W23" s="500"/>
      <c r="X23" s="500"/>
      <c r="Y23" s="714">
        <v>433.77834286120208</v>
      </c>
      <c r="Z23" s="135" t="s">
        <v>462</v>
      </c>
      <c r="AA23" s="502">
        <f>Y23*0.03*44/12</f>
        <v>47.715617714732225</v>
      </c>
      <c r="AB23" s="382"/>
      <c r="AC23" s="382"/>
      <c r="AD23" s="382"/>
      <c r="AE23" s="236">
        <f>AA23+AB23*'Grafer-klima'!$O$9+Planteavl2018!AC23*'Grafer-klima'!$P$9</f>
        <v>47.715617714732225</v>
      </c>
      <c r="AK23" s="503" t="s">
        <v>463</v>
      </c>
      <c r="AL23" s="504"/>
      <c r="AM23" s="504"/>
      <c r="AN23" s="504"/>
      <c r="AO23" s="504"/>
      <c r="AP23" s="504"/>
      <c r="AQ23" s="505">
        <v>0.1336068</v>
      </c>
    </row>
    <row r="24" spans="1:43" s="197" customFormat="1" ht="14.65" customHeight="1" thickBot="1" x14ac:dyDescent="0.3">
      <c r="A24" s="483"/>
      <c r="B24" s="514"/>
      <c r="C24" s="515"/>
      <c r="D24" s="515"/>
      <c r="E24" s="515"/>
      <c r="F24" s="515"/>
      <c r="G24" s="515"/>
      <c r="H24" s="515"/>
      <c r="I24" s="515"/>
      <c r="J24" s="515"/>
      <c r="K24" s="515"/>
      <c r="L24" s="515"/>
      <c r="M24" s="515"/>
      <c r="N24" s="515"/>
      <c r="O24" s="515"/>
      <c r="P24" s="515"/>
      <c r="Q24" s="515"/>
      <c r="R24" s="515"/>
      <c r="S24" s="515"/>
      <c r="T24" s="515"/>
      <c r="U24" s="516"/>
      <c r="V24" s="517"/>
      <c r="W24" s="517"/>
      <c r="X24" s="517"/>
      <c r="Y24" s="518"/>
      <c r="Z24" s="519" t="s">
        <v>1</v>
      </c>
      <c r="AA24" s="520">
        <f>SUM(AA10:AA11,AA13:AA23)</f>
        <v>4058.576485975881</v>
      </c>
      <c r="AB24" s="521">
        <f t="shared" ref="AB24:AE24" si="0">SUM(AB10:AB11,AB13:AB23)</f>
        <v>0</v>
      </c>
      <c r="AC24" s="521">
        <f t="shared" si="0"/>
        <v>265.50946197669924</v>
      </c>
      <c r="AD24" s="521">
        <f t="shared" si="0"/>
        <v>0</v>
      </c>
      <c r="AE24" s="522">
        <f t="shared" si="0"/>
        <v>83180.396155032271</v>
      </c>
      <c r="AJ24" s="413"/>
      <c r="AK24" s="503" t="s">
        <v>464</v>
      </c>
      <c r="AL24" s="504"/>
      <c r="AM24" s="504"/>
      <c r="AN24" s="504"/>
      <c r="AO24" s="504"/>
      <c r="AP24" s="504"/>
      <c r="AQ24" s="505">
        <v>3.2117048127081278E-2</v>
      </c>
    </row>
    <row r="25" spans="1:43" s="197" customFormat="1" ht="15.6" customHeight="1" thickBot="1" x14ac:dyDescent="0.4">
      <c r="A25" s="483"/>
      <c r="B25" s="348" t="s">
        <v>467</v>
      </c>
      <c r="AK25" s="523" t="s">
        <v>465</v>
      </c>
      <c r="AL25" s="524"/>
      <c r="AM25" s="524"/>
      <c r="AN25" s="524"/>
      <c r="AO25" s="524"/>
      <c r="AP25" s="524"/>
      <c r="AQ25" s="460" t="s">
        <v>466</v>
      </c>
    </row>
    <row r="26" spans="1:43" s="197" customFormat="1" ht="15.6" customHeight="1" x14ac:dyDescent="0.2">
      <c r="A26" s="483"/>
    </row>
    <row r="27" spans="1:43" s="197" customFormat="1" ht="15.6" customHeight="1" x14ac:dyDescent="0.2">
      <c r="A27" s="483"/>
      <c r="J27" s="413"/>
      <c r="K27" s="413"/>
      <c r="L27" s="413"/>
      <c r="M27" s="413"/>
      <c r="N27" s="413"/>
      <c r="O27" s="413"/>
      <c r="P27" s="413"/>
      <c r="Q27" s="413"/>
      <c r="R27" s="413"/>
      <c r="S27" s="413"/>
      <c r="T27" s="413"/>
      <c r="U27" s="413"/>
    </row>
    <row r="28" spans="1:43" s="197" customFormat="1" ht="14.65" customHeight="1" x14ac:dyDescent="0.2">
      <c r="A28" s="483"/>
      <c r="AJ28" s="413"/>
    </row>
    <row r="29" spans="1:43" s="197" customFormat="1" x14ac:dyDescent="0.2">
      <c r="A29" s="525"/>
      <c r="AC29" s="462"/>
      <c r="AE29" s="413"/>
    </row>
    <row r="30" spans="1:43" s="197" customFormat="1" x14ac:dyDescent="0.2">
      <c r="A30" s="525"/>
      <c r="AC30" s="462"/>
      <c r="AE30" s="413"/>
      <c r="AH30" s="413"/>
    </row>
    <row r="31" spans="1:43" s="197" customFormat="1" ht="15" x14ac:dyDescent="0.25">
      <c r="A31" s="525"/>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526"/>
      <c r="AA31" s="413"/>
      <c r="AB31" s="413"/>
      <c r="AC31" s="413"/>
      <c r="AD31" s="413"/>
      <c r="AE31" s="413"/>
      <c r="AK31" s="504"/>
      <c r="AL31" s="504"/>
      <c r="AM31" s="504"/>
      <c r="AN31" s="504"/>
      <c r="AO31" s="504"/>
      <c r="AP31" s="504"/>
    </row>
    <row r="32" spans="1:43" s="197" customFormat="1" ht="15" x14ac:dyDescent="0.25">
      <c r="A32" s="525"/>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526"/>
      <c r="AA32" s="413"/>
      <c r="AB32" s="413"/>
      <c r="AC32" s="413"/>
      <c r="AD32" s="413"/>
      <c r="AE32" s="413"/>
      <c r="AK32" s="504"/>
      <c r="AL32" s="504"/>
      <c r="AM32" s="504"/>
      <c r="AN32" s="504"/>
      <c r="AO32" s="504"/>
      <c r="AP32" s="504"/>
    </row>
    <row r="33" spans="1:42" s="197" customFormat="1" ht="15" x14ac:dyDescent="0.25">
      <c r="A33" s="525"/>
      <c r="B33" s="413"/>
      <c r="C33" s="413"/>
      <c r="D33" s="413"/>
      <c r="E33" s="413"/>
      <c r="F33" s="413"/>
      <c r="G33" s="413"/>
      <c r="H33" s="413"/>
      <c r="I33" s="413"/>
      <c r="J33" s="413"/>
      <c r="K33" s="413"/>
      <c r="L33" s="413"/>
      <c r="M33" s="413"/>
      <c r="N33" s="413"/>
      <c r="O33" s="413"/>
      <c r="P33" s="413"/>
      <c r="Q33" s="413"/>
      <c r="R33" s="413"/>
      <c r="S33" s="413"/>
      <c r="T33" s="413"/>
      <c r="U33" s="413"/>
      <c r="V33" s="413"/>
      <c r="W33" s="413"/>
      <c r="Y33" s="413"/>
      <c r="Z33" s="526"/>
      <c r="AA33" s="413"/>
      <c r="AB33" s="413"/>
      <c r="AC33" s="413"/>
      <c r="AD33" s="413"/>
      <c r="AE33" s="413"/>
      <c r="AK33" s="504"/>
      <c r="AL33" s="504"/>
      <c r="AM33" s="504"/>
      <c r="AN33" s="504"/>
      <c r="AO33" s="504"/>
      <c r="AP33" s="504"/>
    </row>
    <row r="34" spans="1:42" s="197" customFormat="1" ht="15" x14ac:dyDescent="0.25">
      <c r="A34" s="525"/>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K34" s="504"/>
      <c r="AL34" s="504"/>
      <c r="AM34" s="504"/>
      <c r="AN34" s="504"/>
      <c r="AO34" s="504"/>
      <c r="AP34" s="504"/>
    </row>
    <row r="35" spans="1:42" s="197" customFormat="1" ht="15" x14ac:dyDescent="0.25">
      <c r="A35" s="525"/>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526"/>
      <c r="AA35" s="413"/>
      <c r="AB35" s="413"/>
      <c r="AC35" s="413"/>
      <c r="AD35" s="413"/>
      <c r="AE35" s="413"/>
      <c r="AK35" s="504"/>
      <c r="AL35" s="504"/>
      <c r="AM35" s="504"/>
      <c r="AN35" s="504"/>
      <c r="AO35" s="504"/>
      <c r="AP35" s="504"/>
    </row>
    <row r="36" spans="1:42" s="197" customFormat="1" ht="15" x14ac:dyDescent="0.25">
      <c r="A36" s="525"/>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526"/>
      <c r="AA36" s="413"/>
      <c r="AB36" s="413"/>
      <c r="AC36" s="413"/>
      <c r="AD36" s="413"/>
      <c r="AE36" s="413"/>
      <c r="AK36" s="504"/>
      <c r="AL36" s="504"/>
      <c r="AM36" s="504"/>
      <c r="AN36" s="504"/>
      <c r="AO36" s="504"/>
      <c r="AP36" s="504"/>
    </row>
    <row r="37" spans="1:42" s="197" customFormat="1" ht="15" x14ac:dyDescent="0.25">
      <c r="A37" s="525"/>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526"/>
      <c r="AA37" s="413"/>
      <c r="AB37" s="413"/>
      <c r="AC37" s="413"/>
      <c r="AD37" s="413"/>
      <c r="AE37" s="413"/>
      <c r="AK37" s="504"/>
      <c r="AL37" s="504"/>
      <c r="AM37" s="504"/>
      <c r="AN37" s="504"/>
      <c r="AO37" s="504"/>
      <c r="AP37" s="504"/>
    </row>
    <row r="38" spans="1:42" s="197" customFormat="1" ht="15" x14ac:dyDescent="0.25">
      <c r="A38" s="525"/>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526"/>
      <c r="AA38" s="413"/>
      <c r="AB38" s="413"/>
      <c r="AC38" s="413"/>
      <c r="AD38" s="413"/>
      <c r="AE38" s="413"/>
      <c r="AK38" s="504"/>
      <c r="AL38" s="504"/>
      <c r="AM38" s="504"/>
      <c r="AN38" s="504"/>
      <c r="AO38" s="504"/>
      <c r="AP38" s="504"/>
    </row>
    <row r="39" spans="1:42" s="197" customFormat="1" ht="15" x14ac:dyDescent="0.25">
      <c r="A39" s="525"/>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526"/>
      <c r="AA39" s="413"/>
      <c r="AB39" s="413"/>
      <c r="AC39" s="413"/>
      <c r="AD39" s="413"/>
      <c r="AE39" s="413"/>
      <c r="AK39" s="504"/>
      <c r="AL39" s="504"/>
      <c r="AM39" s="504"/>
      <c r="AN39" s="504"/>
      <c r="AO39" s="504"/>
      <c r="AP39" s="504"/>
    </row>
    <row r="40" spans="1:42" s="197" customFormat="1" ht="15" x14ac:dyDescent="0.25">
      <c r="A40" s="525"/>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526"/>
      <c r="AA40" s="413"/>
      <c r="AB40" s="413"/>
      <c r="AC40" s="413"/>
      <c r="AD40" s="413"/>
      <c r="AE40" s="413"/>
      <c r="AK40" s="504"/>
      <c r="AL40" s="504"/>
      <c r="AM40" s="504"/>
      <c r="AN40" s="504"/>
      <c r="AO40" s="504"/>
      <c r="AP40" s="504"/>
    </row>
    <row r="41" spans="1:42" s="197" customFormat="1" ht="15" x14ac:dyDescent="0.25">
      <c r="A41" s="525"/>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526"/>
      <c r="AA41" s="413"/>
      <c r="AB41" s="413"/>
      <c r="AC41" s="413"/>
      <c r="AD41" s="413"/>
      <c r="AE41" s="413"/>
      <c r="AK41" s="504"/>
      <c r="AL41" s="504"/>
      <c r="AM41" s="504"/>
      <c r="AN41" s="504"/>
      <c r="AO41" s="504"/>
      <c r="AP41" s="504"/>
    </row>
    <row r="42" spans="1:42" s="197" customFormat="1" ht="15" x14ac:dyDescent="0.25">
      <c r="A42" s="525"/>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526"/>
      <c r="AA42" s="413"/>
      <c r="AB42" s="413"/>
      <c r="AC42" s="413"/>
      <c r="AD42" s="413"/>
      <c r="AE42" s="413"/>
      <c r="AK42" s="504"/>
      <c r="AL42" s="504"/>
      <c r="AM42" s="504"/>
      <c r="AN42" s="504"/>
      <c r="AO42" s="504"/>
      <c r="AP42" s="504"/>
    </row>
    <row r="43" spans="1:42" s="197" customFormat="1" ht="15" x14ac:dyDescent="0.25">
      <c r="AK43" s="504"/>
      <c r="AL43" s="504"/>
      <c r="AM43" s="504"/>
      <c r="AN43" s="504"/>
      <c r="AO43" s="504"/>
      <c r="AP43" s="504"/>
    </row>
    <row r="44" spans="1:42" s="197" customFormat="1" ht="15" x14ac:dyDescent="0.25">
      <c r="AK44" s="504"/>
      <c r="AL44" s="504"/>
      <c r="AM44" s="504"/>
      <c r="AN44" s="504"/>
      <c r="AO44" s="504"/>
      <c r="AP44" s="504"/>
    </row>
    <row r="45" spans="1:42" s="197" customFormat="1" ht="15" x14ac:dyDescent="0.25">
      <c r="AK45" s="504"/>
      <c r="AL45" s="504"/>
      <c r="AM45" s="504"/>
      <c r="AN45" s="504"/>
      <c r="AO45" s="504"/>
      <c r="AP45" s="504"/>
    </row>
    <row r="46" spans="1:42" s="197" customFormat="1" ht="15" x14ac:dyDescent="0.25">
      <c r="AC46" s="462"/>
      <c r="AE46" s="413"/>
      <c r="AK46" s="504"/>
      <c r="AL46" s="504"/>
      <c r="AM46" s="504"/>
      <c r="AN46" s="504"/>
      <c r="AO46" s="504"/>
      <c r="AP46" s="504"/>
    </row>
    <row r="47" spans="1:42" s="197" customFormat="1" ht="15" x14ac:dyDescent="0.25">
      <c r="AC47" s="462"/>
      <c r="AE47" s="413"/>
      <c r="AK47" s="504"/>
      <c r="AL47" s="504"/>
      <c r="AM47" s="504"/>
      <c r="AN47" s="504"/>
      <c r="AO47" s="504"/>
      <c r="AP47" s="504"/>
    </row>
    <row r="48" spans="1:42" s="197" customFormat="1" x14ac:dyDescent="0.2">
      <c r="AC48" s="462"/>
      <c r="AE48" s="413"/>
    </row>
    <row r="49" spans="29:31" s="197" customFormat="1" x14ac:dyDescent="0.2">
      <c r="AC49" s="462"/>
      <c r="AE49" s="413"/>
    </row>
    <row r="50" spans="29:31" s="197" customFormat="1" x14ac:dyDescent="0.2">
      <c r="AC50" s="462"/>
      <c r="AE50" s="413"/>
    </row>
    <row r="51" spans="29:31" s="197" customFormat="1" x14ac:dyDescent="0.2">
      <c r="AC51" s="462"/>
      <c r="AE51" s="413"/>
    </row>
    <row r="52" spans="29:31" s="197" customFormat="1" x14ac:dyDescent="0.2">
      <c r="AC52" s="462"/>
      <c r="AE52" s="413"/>
    </row>
    <row r="53" spans="29:31" s="197" customFormat="1" x14ac:dyDescent="0.2">
      <c r="AC53" s="462"/>
      <c r="AE53" s="413"/>
    </row>
    <row r="54" spans="29:31" s="197" customFormat="1" x14ac:dyDescent="0.2">
      <c r="AC54" s="462"/>
      <c r="AE54" s="413"/>
    </row>
    <row r="55" spans="29:31" s="197" customFormat="1" x14ac:dyDescent="0.2">
      <c r="AC55" s="462"/>
      <c r="AE55" s="413"/>
    </row>
    <row r="56" spans="29:31" s="197" customFormat="1" x14ac:dyDescent="0.2">
      <c r="AC56" s="462"/>
      <c r="AE56" s="413"/>
    </row>
    <row r="57" spans="29:31" s="197" customFormat="1" x14ac:dyDescent="0.2">
      <c r="AC57" s="462"/>
      <c r="AE57" s="413"/>
    </row>
    <row r="58" spans="29:31" s="197" customFormat="1" x14ac:dyDescent="0.2">
      <c r="AC58" s="462"/>
      <c r="AE58" s="413"/>
    </row>
    <row r="59" spans="29:31" s="197" customFormat="1" x14ac:dyDescent="0.2">
      <c r="AC59" s="462"/>
      <c r="AE59" s="413"/>
    </row>
    <row r="60" spans="29:31" s="197" customFormat="1" x14ac:dyDescent="0.2">
      <c r="AC60" s="462"/>
      <c r="AE60" s="413"/>
    </row>
    <row r="61" spans="29:31" s="197" customFormat="1" x14ac:dyDescent="0.2">
      <c r="AC61" s="462"/>
      <c r="AE61" s="413"/>
    </row>
    <row r="62" spans="29:31" s="197" customFormat="1" x14ac:dyDescent="0.2">
      <c r="AC62" s="462"/>
      <c r="AE62" s="413"/>
    </row>
    <row r="63" spans="29:31" s="197" customFormat="1" x14ac:dyDescent="0.2">
      <c r="AC63" s="462"/>
      <c r="AE63" s="413"/>
    </row>
    <row r="64" spans="29:31" s="197" customFormat="1" x14ac:dyDescent="0.2">
      <c r="AC64" s="462"/>
      <c r="AE64" s="413"/>
    </row>
    <row r="65" spans="29:31" s="197" customFormat="1" x14ac:dyDescent="0.2">
      <c r="AC65" s="462"/>
      <c r="AE65" s="413"/>
    </row>
    <row r="66" spans="29:31" s="197" customFormat="1" x14ac:dyDescent="0.2">
      <c r="AC66" s="462"/>
      <c r="AE66" s="413"/>
    </row>
    <row r="67" spans="29:31" s="197" customFormat="1" x14ac:dyDescent="0.2">
      <c r="AC67" s="462"/>
      <c r="AE67" s="413"/>
    </row>
    <row r="68" spans="29:31" s="197" customFormat="1" x14ac:dyDescent="0.2">
      <c r="AC68" s="462"/>
      <c r="AE68" s="413"/>
    </row>
    <row r="69" spans="29:31" s="197" customFormat="1" x14ac:dyDescent="0.2">
      <c r="AC69" s="462"/>
      <c r="AE69" s="413"/>
    </row>
    <row r="70" spans="29:31" s="197" customFormat="1" x14ac:dyDescent="0.2">
      <c r="AC70" s="462"/>
      <c r="AE70" s="413"/>
    </row>
    <row r="71" spans="29:31" s="197" customFormat="1" x14ac:dyDescent="0.2">
      <c r="AC71" s="462"/>
      <c r="AE71" s="413"/>
    </row>
    <row r="72" spans="29:31" s="197" customFormat="1" x14ac:dyDescent="0.2">
      <c r="AC72" s="462"/>
      <c r="AE72" s="413"/>
    </row>
    <row r="73" spans="29:31" s="197" customFormat="1" x14ac:dyDescent="0.2">
      <c r="AC73" s="462"/>
      <c r="AE73" s="413"/>
    </row>
    <row r="74" spans="29:31" s="197" customFormat="1" x14ac:dyDescent="0.2">
      <c r="AC74" s="462"/>
      <c r="AE74" s="413"/>
    </row>
    <row r="75" spans="29:31" s="197" customFormat="1" x14ac:dyDescent="0.2">
      <c r="AC75" s="462"/>
      <c r="AE75" s="413"/>
    </row>
    <row r="76" spans="29:31" s="197" customFormat="1" x14ac:dyDescent="0.2">
      <c r="AC76" s="462"/>
      <c r="AE76" s="413"/>
    </row>
    <row r="77" spans="29:31" s="197" customFormat="1" x14ac:dyDescent="0.2">
      <c r="AC77" s="462"/>
      <c r="AE77" s="413"/>
    </row>
    <row r="78" spans="29:31" s="197" customFormat="1" x14ac:dyDescent="0.2">
      <c r="AC78" s="462"/>
      <c r="AE78" s="413"/>
    </row>
    <row r="79" spans="29:31" s="197" customFormat="1" x14ac:dyDescent="0.2">
      <c r="AC79" s="462"/>
      <c r="AE79" s="413"/>
    </row>
    <row r="80" spans="29:31" s="197" customFormat="1" x14ac:dyDescent="0.2">
      <c r="AC80" s="462"/>
      <c r="AE80" s="413"/>
    </row>
    <row r="81" spans="29:31" s="197" customFormat="1" x14ac:dyDescent="0.2">
      <c r="AC81" s="462"/>
      <c r="AE81" s="413"/>
    </row>
    <row r="82" spans="29:31" s="197" customFormat="1" x14ac:dyDescent="0.2">
      <c r="AC82" s="462"/>
      <c r="AE82" s="413"/>
    </row>
    <row r="83" spans="29:31" s="197" customFormat="1" x14ac:dyDescent="0.2">
      <c r="AC83" s="462"/>
      <c r="AE83" s="413"/>
    </row>
    <row r="84" spans="29:31" s="197" customFormat="1" x14ac:dyDescent="0.2">
      <c r="AC84" s="462"/>
      <c r="AE84" s="413"/>
    </row>
    <row r="85" spans="29:31" s="197" customFormat="1" x14ac:dyDescent="0.2">
      <c r="AC85" s="462"/>
      <c r="AE85" s="413"/>
    </row>
    <row r="86" spans="29:31" s="197" customFormat="1" x14ac:dyDescent="0.2">
      <c r="AC86" s="462"/>
      <c r="AE86" s="413"/>
    </row>
    <row r="87" spans="29:31" s="197" customFormat="1" x14ac:dyDescent="0.2">
      <c r="AC87" s="462"/>
      <c r="AE87" s="413"/>
    </row>
    <row r="88" spans="29:31" s="197" customFormat="1" x14ac:dyDescent="0.2">
      <c r="AC88" s="462"/>
      <c r="AE88" s="413"/>
    </row>
    <row r="89" spans="29:31" s="197" customFormat="1" x14ac:dyDescent="0.2">
      <c r="AC89" s="462"/>
      <c r="AE89" s="413"/>
    </row>
    <row r="90" spans="29:31" s="197" customFormat="1" x14ac:dyDescent="0.2">
      <c r="AC90" s="462"/>
      <c r="AE90" s="413"/>
    </row>
    <row r="91" spans="29:31" s="197" customFormat="1" x14ac:dyDescent="0.2">
      <c r="AC91" s="462"/>
      <c r="AE91" s="413"/>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3536A-D2C1-4518-9CAB-7AFD185020BF}">
  <sheetPr codeName="Ark14">
    <tabColor rgb="FF92D050"/>
  </sheetPr>
  <dimension ref="A1:AI87"/>
  <sheetViews>
    <sheetView showGridLines="0" topLeftCell="A19" workbookViewId="0">
      <selection activeCell="Q11" sqref="Q11"/>
    </sheetView>
  </sheetViews>
  <sheetFormatPr defaultColWidth="8.7109375" defaultRowHeight="14.25" x14ac:dyDescent="0.2"/>
  <cols>
    <col min="1" max="1" width="8.7109375" style="197"/>
    <col min="2" max="2" width="12.7109375" style="197" bestFit="1" customWidth="1"/>
    <col min="3" max="3" width="12.5703125" style="197" bestFit="1" customWidth="1"/>
    <col min="4" max="4" width="12.7109375" style="197" bestFit="1" customWidth="1"/>
    <col min="5" max="5" width="12.5703125" style="197" bestFit="1" customWidth="1"/>
    <col min="6" max="6" width="9" style="197" customWidth="1"/>
    <col min="7" max="7" width="8.7109375" style="197"/>
    <col min="8" max="8" width="12.7109375" style="197" bestFit="1" customWidth="1"/>
    <col min="9" max="9" width="10.7109375" style="197" customWidth="1"/>
    <col min="10" max="10" width="60.42578125" style="201" customWidth="1"/>
    <col min="11" max="11" width="12.85546875" style="197" customWidth="1"/>
    <col min="12" max="12" width="10.5703125" style="197" bestFit="1" customWidth="1"/>
    <col min="13" max="13" width="9.5703125" style="462" bestFit="1" customWidth="1"/>
    <col min="14" max="14" width="12.5703125" style="197" bestFit="1" customWidth="1"/>
    <col min="15" max="15" width="8.7109375" style="197"/>
    <col min="16" max="16" width="14.42578125" style="413" customWidth="1"/>
    <col min="17" max="35" width="9.140625" style="197" customWidth="1"/>
    <col min="36" max="16384" width="8.7109375" style="201"/>
  </cols>
  <sheetData>
    <row r="1" spans="1:35" s="197" customFormat="1" ht="15" thickBot="1" x14ac:dyDescent="0.25">
      <c r="M1" s="462"/>
      <c r="P1" s="413"/>
    </row>
    <row r="2" spans="1:35" s="197" customFormat="1" ht="15" x14ac:dyDescent="0.2">
      <c r="A2" s="527" t="s">
        <v>417</v>
      </c>
      <c r="B2" s="528"/>
      <c r="C2" s="528"/>
      <c r="D2" s="529">
        <v>2018</v>
      </c>
      <c r="J2" s="463" t="s">
        <v>469</v>
      </c>
      <c r="M2" s="462"/>
      <c r="P2" s="413"/>
    </row>
    <row r="3" spans="1:35" s="197" customFormat="1" ht="35.1" customHeight="1" thickBot="1" x14ac:dyDescent="0.25">
      <c r="A3" s="530" t="s">
        <v>470</v>
      </c>
      <c r="B3" s="531" t="s">
        <v>471</v>
      </c>
      <c r="C3" s="532" t="s">
        <v>472</v>
      </c>
      <c r="D3" s="533"/>
      <c r="J3" s="347" t="s">
        <v>368</v>
      </c>
      <c r="M3" s="462"/>
      <c r="P3" s="413"/>
    </row>
    <row r="4" spans="1:35" s="197" customFormat="1" x14ac:dyDescent="0.2">
      <c r="J4" s="668" t="str">
        <f>'[1]Arealanvendelse, 2018'!J4</f>
        <v>Skive Kommune</v>
      </c>
      <c r="M4" s="462"/>
      <c r="P4" s="413"/>
    </row>
    <row r="5" spans="1:35" s="197" customFormat="1" x14ac:dyDescent="0.2">
      <c r="B5" s="10"/>
      <c r="C5" s="10"/>
      <c r="D5" s="10"/>
      <c r="E5" s="467"/>
      <c r="F5" s="10"/>
      <c r="M5" s="462"/>
      <c r="P5" s="413"/>
    </row>
    <row r="6" spans="1:35" s="197" customFormat="1" ht="21" customHeight="1" x14ac:dyDescent="0.4">
      <c r="B6" s="10"/>
      <c r="C6" s="468"/>
      <c r="D6" s="469"/>
      <c r="E6" s="467"/>
      <c r="F6" s="10"/>
      <c r="M6" s="462"/>
      <c r="P6" s="413"/>
    </row>
    <row r="7" spans="1:35" s="197" customFormat="1" ht="17.25" thickBot="1" x14ac:dyDescent="0.25">
      <c r="B7" s="776" t="s">
        <v>421</v>
      </c>
      <c r="C7" s="777"/>
      <c r="D7" s="777"/>
      <c r="E7" s="777"/>
      <c r="F7" s="777"/>
      <c r="G7" s="777"/>
      <c r="H7" s="778"/>
      <c r="I7" s="349" t="s">
        <v>473</v>
      </c>
      <c r="J7" s="534" t="s">
        <v>372</v>
      </c>
      <c r="K7" s="776" t="s">
        <v>373</v>
      </c>
      <c r="L7" s="777"/>
      <c r="M7" s="777"/>
      <c r="N7" s="777"/>
      <c r="O7" s="777"/>
      <c r="P7" s="778"/>
    </row>
    <row r="8" spans="1:35" s="197" customFormat="1" ht="230.25" customHeight="1" x14ac:dyDescent="0.2">
      <c r="B8" s="473" t="s">
        <v>266</v>
      </c>
      <c r="C8" s="474" t="s">
        <v>474</v>
      </c>
      <c r="D8" s="474" t="s">
        <v>277</v>
      </c>
      <c r="E8" s="474" t="s">
        <v>269</v>
      </c>
      <c r="F8" s="474" t="s">
        <v>270</v>
      </c>
      <c r="G8" s="474" t="s">
        <v>271</v>
      </c>
      <c r="H8" s="535" t="s">
        <v>272</v>
      </c>
      <c r="I8" s="477" t="s">
        <v>475</v>
      </c>
      <c r="J8" s="479"/>
      <c r="K8" s="480" t="s">
        <v>434</v>
      </c>
      <c r="L8" s="474" t="s">
        <v>435</v>
      </c>
      <c r="M8" s="481" t="s">
        <v>394</v>
      </c>
      <c r="N8" s="474" t="s">
        <v>476</v>
      </c>
      <c r="O8" s="480" t="s">
        <v>477</v>
      </c>
      <c r="P8" s="482" t="s">
        <v>478</v>
      </c>
    </row>
    <row r="9" spans="1:35" s="197" customFormat="1" ht="17.25" customHeight="1" x14ac:dyDescent="0.2">
      <c r="A9" s="483"/>
      <c r="B9" s="536"/>
      <c r="C9" s="537"/>
      <c r="D9" s="537"/>
      <c r="E9" s="537"/>
      <c r="F9" s="537"/>
      <c r="G9" s="537"/>
      <c r="H9" s="538"/>
      <c r="I9" s="539"/>
      <c r="J9" s="540" t="s">
        <v>244</v>
      </c>
      <c r="K9" s="541"/>
      <c r="L9" s="537"/>
      <c r="M9" s="537"/>
      <c r="N9" s="537"/>
      <c r="O9" s="537"/>
      <c r="P9" s="542"/>
    </row>
    <row r="10" spans="1:35" s="197" customFormat="1" ht="14.45" customHeight="1" x14ac:dyDescent="0.2">
      <c r="A10" s="483"/>
      <c r="B10" s="715">
        <v>3617.8125</v>
      </c>
      <c r="C10" s="208"/>
      <c r="D10" s="208"/>
      <c r="E10" s="208"/>
      <c r="F10" s="208"/>
      <c r="G10" s="570"/>
      <c r="H10" s="233"/>
      <c r="I10" s="494"/>
      <c r="J10" s="128" t="s">
        <v>479</v>
      </c>
      <c r="K10" s="496"/>
      <c r="L10" s="203"/>
      <c r="M10" s="203"/>
      <c r="N10" s="338">
        <v>-1081.1865620193557</v>
      </c>
      <c r="O10" s="203">
        <f>P10/SUM(B10:I10)</f>
        <v>1.0957866742414937</v>
      </c>
      <c r="P10" s="229">
        <f>N10*-(44/12)</f>
        <v>3964.3507274043041</v>
      </c>
      <c r="Q10" s="198"/>
      <c r="T10" s="543"/>
      <c r="U10" s="543"/>
      <c r="V10" s="543"/>
      <c r="W10" s="543"/>
      <c r="X10" s="543"/>
      <c r="Y10" s="543"/>
      <c r="Z10" s="543"/>
      <c r="AA10" s="543"/>
      <c r="AB10" s="543"/>
      <c r="AC10" s="543"/>
      <c r="AD10" s="543"/>
      <c r="AE10" s="543"/>
      <c r="AF10" s="543"/>
      <c r="AG10" s="543"/>
      <c r="AH10" s="543"/>
      <c r="AI10" s="543"/>
    </row>
    <row r="11" spans="1:35" s="197" customFormat="1" ht="14.45" customHeight="1" x14ac:dyDescent="0.2">
      <c r="A11" s="483"/>
      <c r="B11" s="667"/>
      <c r="C11" s="338">
        <v>50338.25</v>
      </c>
      <c r="D11" s="208"/>
      <c r="E11" s="208"/>
      <c r="F11" s="208"/>
      <c r="G11" s="570"/>
      <c r="H11" s="233"/>
      <c r="I11" s="494"/>
      <c r="J11" s="128" t="s">
        <v>480</v>
      </c>
      <c r="K11" s="496"/>
      <c r="L11" s="203"/>
      <c r="M11" s="203"/>
      <c r="N11" s="338">
        <v>-32003.42741973752</v>
      </c>
      <c r="O11" s="203">
        <f t="shared" ref="O11:O33" si="0">P11/SUM(B11:I11)</f>
        <v>2.331147795941209</v>
      </c>
      <c r="P11" s="229">
        <f>N11*-(44/12)</f>
        <v>117345.90053903757</v>
      </c>
      <c r="Q11" s="198"/>
      <c r="R11" s="413"/>
    </row>
    <row r="12" spans="1:35" s="197" customFormat="1" ht="14.45" customHeight="1" x14ac:dyDescent="0.2">
      <c r="A12" s="483"/>
      <c r="B12" s="667"/>
      <c r="C12" s="208"/>
      <c r="D12" s="338">
        <v>1492.375</v>
      </c>
      <c r="E12" s="208"/>
      <c r="F12" s="208"/>
      <c r="G12" s="570"/>
      <c r="H12" s="233"/>
      <c r="I12" s="494"/>
      <c r="J12" s="128" t="s">
        <v>481</v>
      </c>
      <c r="K12" s="496"/>
      <c r="L12" s="203"/>
      <c r="M12" s="203"/>
      <c r="N12" s="338">
        <v>-2226.931288392434</v>
      </c>
      <c r="O12" s="203">
        <f t="shared" si="0"/>
        <v>5.4714228823892057</v>
      </c>
      <c r="P12" s="229">
        <f>N12*-(44/12)</f>
        <v>8165.4147241055907</v>
      </c>
      <c r="Q12" s="544"/>
    </row>
    <row r="13" spans="1:35" s="197" customFormat="1" ht="14.45" customHeight="1" x14ac:dyDescent="0.2">
      <c r="A13" s="483"/>
      <c r="B13" s="667"/>
      <c r="C13" s="208"/>
      <c r="D13" s="208"/>
      <c r="E13" s="338">
        <v>1008.3125</v>
      </c>
      <c r="F13" s="208"/>
      <c r="G13" s="570"/>
      <c r="H13" s="233"/>
      <c r="I13" s="494"/>
      <c r="J13" s="128" t="s">
        <v>482</v>
      </c>
      <c r="K13" s="496"/>
      <c r="L13" s="203"/>
      <c r="M13" s="203"/>
      <c r="N13" s="338">
        <v>0</v>
      </c>
      <c r="O13" s="203"/>
      <c r="P13" s="229">
        <f>N13*-(44/12)</f>
        <v>0</v>
      </c>
      <c r="Q13" s="545"/>
    </row>
    <row r="14" spans="1:35" s="197" customFormat="1" ht="14.45" customHeight="1" x14ac:dyDescent="0.2">
      <c r="A14" s="483"/>
      <c r="B14" s="667"/>
      <c r="C14" s="208"/>
      <c r="D14" s="208"/>
      <c r="E14" s="208"/>
      <c r="F14" s="338">
        <v>925.1875</v>
      </c>
      <c r="G14" s="570"/>
      <c r="H14" s="233"/>
      <c r="I14" s="494"/>
      <c r="J14" s="128" t="s">
        <v>483</v>
      </c>
      <c r="K14" s="496"/>
      <c r="L14" s="203"/>
      <c r="M14" s="203"/>
      <c r="N14" s="203" t="s">
        <v>282</v>
      </c>
      <c r="O14" s="203"/>
      <c r="P14" s="229" t="s">
        <v>282</v>
      </c>
      <c r="Q14" s="545"/>
      <c r="R14" s="198"/>
      <c r="S14" s="198"/>
      <c r="T14" s="198"/>
      <c r="U14" s="546"/>
      <c r="V14" s="198"/>
      <c r="W14" s="198"/>
    </row>
    <row r="15" spans="1:35" s="197" customFormat="1" ht="14.45" customHeight="1" x14ac:dyDescent="0.2">
      <c r="A15" s="483"/>
      <c r="B15" s="667"/>
      <c r="C15" s="208"/>
      <c r="D15" s="208"/>
      <c r="E15" s="208"/>
      <c r="F15" s="208"/>
      <c r="G15" s="338">
        <v>7188.375</v>
      </c>
      <c r="H15" s="233"/>
      <c r="I15" s="494"/>
      <c r="J15" s="128" t="s">
        <v>484</v>
      </c>
      <c r="K15" s="496"/>
      <c r="L15" s="203"/>
      <c r="M15" s="203"/>
      <c r="N15" s="203" t="s">
        <v>282</v>
      </c>
      <c r="O15" s="203"/>
      <c r="P15" s="229" t="s">
        <v>282</v>
      </c>
    </row>
    <row r="16" spans="1:35" s="197" customFormat="1" ht="14.45" customHeight="1" x14ac:dyDescent="0.2">
      <c r="A16" s="483"/>
      <c r="B16" s="667"/>
      <c r="C16" s="208"/>
      <c r="D16" s="208"/>
      <c r="E16" s="208"/>
      <c r="F16" s="208"/>
      <c r="G16" s="570"/>
      <c r="H16" s="338">
        <v>66.125</v>
      </c>
      <c r="I16" s="494"/>
      <c r="J16" s="128" t="s">
        <v>485</v>
      </c>
      <c r="K16" s="496"/>
      <c r="L16" s="203"/>
      <c r="M16" s="203"/>
      <c r="N16" s="203" t="s">
        <v>282</v>
      </c>
      <c r="O16" s="203"/>
      <c r="P16" s="229" t="s">
        <v>282</v>
      </c>
    </row>
    <row r="17" spans="1:23" s="197" customFormat="1" ht="14.45" customHeight="1" x14ac:dyDescent="0.2">
      <c r="A17" s="483"/>
      <c r="B17" s="715">
        <v>0</v>
      </c>
      <c r="C17" s="338">
        <v>0</v>
      </c>
      <c r="D17" s="338">
        <v>0</v>
      </c>
      <c r="E17" s="338">
        <v>0</v>
      </c>
      <c r="F17" s="338">
        <v>0</v>
      </c>
      <c r="G17" s="716">
        <v>0</v>
      </c>
      <c r="H17" s="628">
        <v>0</v>
      </c>
      <c r="I17" s="494"/>
      <c r="J17" s="128" t="s">
        <v>486</v>
      </c>
      <c r="K17" s="496"/>
      <c r="L17" s="203"/>
      <c r="M17" s="203"/>
      <c r="N17" s="203"/>
      <c r="O17" s="203"/>
      <c r="P17" s="229">
        <f>L17*25+M17*298+K17</f>
        <v>0</v>
      </c>
    </row>
    <row r="18" spans="1:23" s="197" customFormat="1" ht="14.45" customHeight="1" x14ac:dyDescent="0.2">
      <c r="A18" s="483"/>
      <c r="B18" s="715">
        <v>0</v>
      </c>
      <c r="C18" s="338">
        <v>1223.3800000000001</v>
      </c>
      <c r="D18" s="338">
        <v>107.31</v>
      </c>
      <c r="E18" s="338">
        <v>26.19</v>
      </c>
      <c r="F18" s="338">
        <v>0</v>
      </c>
      <c r="G18" s="716">
        <v>0</v>
      </c>
      <c r="H18" s="628">
        <v>1.25</v>
      </c>
      <c r="I18" s="494"/>
      <c r="J18" s="128" t="s">
        <v>487</v>
      </c>
      <c r="K18" s="496"/>
      <c r="L18" s="203"/>
      <c r="M18" s="203"/>
      <c r="N18" s="338">
        <v>754.19084556026576</v>
      </c>
      <c r="O18" s="203">
        <f t="shared" si="0"/>
        <v>-2.0361573882625184</v>
      </c>
      <c r="P18" s="229">
        <f t="shared" ref="P18:P24" si="1">N18*-(44/12)</f>
        <v>-2765.3664337209743</v>
      </c>
    </row>
    <row r="19" spans="1:23" s="197" customFormat="1" ht="14.45" customHeight="1" x14ac:dyDescent="0.2">
      <c r="A19" s="483"/>
      <c r="B19" s="715">
        <v>123.13</v>
      </c>
      <c r="C19" s="338">
        <v>0</v>
      </c>
      <c r="D19" s="338">
        <v>276.5</v>
      </c>
      <c r="E19" s="338">
        <v>8.81</v>
      </c>
      <c r="F19" s="338">
        <v>0</v>
      </c>
      <c r="G19" s="716">
        <v>0</v>
      </c>
      <c r="H19" s="628">
        <v>3.94</v>
      </c>
      <c r="I19" s="494"/>
      <c r="J19" s="128" t="s">
        <v>488</v>
      </c>
      <c r="K19" s="496"/>
      <c r="L19" s="203"/>
      <c r="M19" s="203"/>
      <c r="N19" s="338">
        <v>-350.24974794431762</v>
      </c>
      <c r="O19" s="203">
        <f t="shared" si="0"/>
        <v>3.1142370527082575</v>
      </c>
      <c r="P19" s="229">
        <f t="shared" si="1"/>
        <v>1284.2490757958312</v>
      </c>
    </row>
    <row r="20" spans="1:23" s="197" customFormat="1" ht="14.45" customHeight="1" x14ac:dyDescent="0.2">
      <c r="A20" s="483"/>
      <c r="B20" s="715">
        <v>30.06</v>
      </c>
      <c r="C20" s="338">
        <v>1239.69</v>
      </c>
      <c r="D20" s="338">
        <v>0</v>
      </c>
      <c r="E20" s="338">
        <v>0</v>
      </c>
      <c r="F20" s="338">
        <v>0</v>
      </c>
      <c r="G20" s="716">
        <v>0</v>
      </c>
      <c r="H20" s="628">
        <v>2.94</v>
      </c>
      <c r="I20" s="494"/>
      <c r="J20" s="128" t="s">
        <v>489</v>
      </c>
      <c r="K20" s="496"/>
      <c r="L20" s="203"/>
      <c r="M20" s="203"/>
      <c r="N20" s="338">
        <v>-177.8455666605289</v>
      </c>
      <c r="O20" s="203">
        <f t="shared" si="0"/>
        <v>0.51237961411546085</v>
      </c>
      <c r="P20" s="229">
        <f t="shared" si="1"/>
        <v>652.10041108860594</v>
      </c>
      <c r="Q20" s="544"/>
      <c r="W20" s="413"/>
    </row>
    <row r="21" spans="1:23" s="197" customFormat="1" ht="14.45" customHeight="1" x14ac:dyDescent="0.2">
      <c r="A21" s="483"/>
      <c r="B21" s="715">
        <v>1.1299999999999999</v>
      </c>
      <c r="C21" s="338">
        <v>97.63</v>
      </c>
      <c r="D21" s="338">
        <v>70.88</v>
      </c>
      <c r="E21" s="338">
        <v>0</v>
      </c>
      <c r="F21" s="338">
        <v>0</v>
      </c>
      <c r="G21" s="716">
        <v>0</v>
      </c>
      <c r="H21" s="628">
        <v>0</v>
      </c>
      <c r="I21" s="494"/>
      <c r="J21" s="128" t="s">
        <v>490</v>
      </c>
      <c r="K21" s="496"/>
      <c r="L21" s="203"/>
      <c r="M21" s="203"/>
      <c r="N21" s="203" t="s">
        <v>282</v>
      </c>
      <c r="O21" s="203"/>
      <c r="P21" s="229" t="s">
        <v>282</v>
      </c>
      <c r="U21" s="413"/>
      <c r="V21" s="413"/>
    </row>
    <row r="22" spans="1:23" s="197" customFormat="1" ht="14.45" customHeight="1" x14ac:dyDescent="0.2">
      <c r="A22" s="483"/>
      <c r="B22" s="715">
        <v>0.44</v>
      </c>
      <c r="C22" s="338">
        <v>131.63</v>
      </c>
      <c r="D22" s="338">
        <v>1.94</v>
      </c>
      <c r="E22" s="338">
        <v>0</v>
      </c>
      <c r="F22" s="338">
        <v>0</v>
      </c>
      <c r="G22" s="716">
        <v>0</v>
      </c>
      <c r="H22" s="628">
        <v>0</v>
      </c>
      <c r="I22" s="494"/>
      <c r="J22" s="128" t="s">
        <v>491</v>
      </c>
      <c r="K22" s="496"/>
      <c r="L22" s="203"/>
      <c r="M22" s="203"/>
      <c r="N22" s="203" t="s">
        <v>282</v>
      </c>
      <c r="O22" s="203"/>
      <c r="P22" s="229" t="s">
        <v>282</v>
      </c>
      <c r="U22" s="413"/>
      <c r="V22" s="413"/>
    </row>
    <row r="23" spans="1:23" s="197" customFormat="1" ht="14.45" customHeight="1" x14ac:dyDescent="0.2">
      <c r="A23" s="483"/>
      <c r="B23" s="715">
        <v>13.25</v>
      </c>
      <c r="C23" s="338">
        <v>355.1875</v>
      </c>
      <c r="D23" s="338">
        <v>10.75</v>
      </c>
      <c r="E23" s="338">
        <v>1.5</v>
      </c>
      <c r="F23" s="338">
        <v>0</v>
      </c>
      <c r="G23" s="716">
        <v>0</v>
      </c>
      <c r="H23" s="628">
        <v>18.190000000000001</v>
      </c>
      <c r="I23" s="494"/>
      <c r="J23" s="128" t="s">
        <v>492</v>
      </c>
      <c r="K23" s="496"/>
      <c r="L23" s="203"/>
      <c r="M23" s="203"/>
      <c r="N23" s="338">
        <v>-495.76790589395694</v>
      </c>
      <c r="O23" s="203">
        <f t="shared" si="0"/>
        <v>4.5573281394526104</v>
      </c>
      <c r="P23" s="229">
        <f t="shared" si="1"/>
        <v>1817.8156549445087</v>
      </c>
      <c r="Q23" s="544"/>
      <c r="R23" s="198"/>
      <c r="U23" s="462"/>
      <c r="V23" s="413"/>
    </row>
    <row r="24" spans="1:23" s="197" customFormat="1" ht="14.45" customHeight="1" x14ac:dyDescent="0.2">
      <c r="A24" s="483"/>
      <c r="B24" s="715">
        <v>0</v>
      </c>
      <c r="C24" s="338">
        <v>0</v>
      </c>
      <c r="D24" s="338">
        <v>0</v>
      </c>
      <c r="E24" s="338">
        <v>0</v>
      </c>
      <c r="F24" s="338">
        <v>0</v>
      </c>
      <c r="G24" s="716">
        <v>0</v>
      </c>
      <c r="H24" s="628">
        <v>0</v>
      </c>
      <c r="I24" s="494"/>
      <c r="J24" s="128" t="s">
        <v>493</v>
      </c>
      <c r="K24" s="496"/>
      <c r="L24" s="203"/>
      <c r="M24" s="203"/>
      <c r="N24" s="203"/>
      <c r="O24" s="203"/>
      <c r="P24" s="229">
        <f t="shared" si="1"/>
        <v>0</v>
      </c>
      <c r="U24" s="413"/>
      <c r="V24" s="413"/>
    </row>
    <row r="25" spans="1:23" s="197" customFormat="1" ht="14.45" customHeight="1" x14ac:dyDescent="0.2">
      <c r="A25" s="483"/>
      <c r="B25" s="372">
        <f>B19</f>
        <v>123.13</v>
      </c>
      <c r="C25" s="374"/>
      <c r="D25" s="374">
        <f>D19</f>
        <v>276.5</v>
      </c>
      <c r="E25" s="547"/>
      <c r="F25" s="547"/>
      <c r="G25" s="547"/>
      <c r="H25" s="548"/>
      <c r="I25" s="549"/>
      <c r="J25" s="128" t="s">
        <v>494</v>
      </c>
      <c r="K25" s="496"/>
      <c r="L25" s="203"/>
      <c r="M25" s="203">
        <f>B25*0.74711361403221*44/28/1000</f>
        <v>0.14455901317909231</v>
      </c>
      <c r="N25" s="203"/>
      <c r="O25" s="203"/>
      <c r="P25" s="229">
        <f t="shared" ref="P25:P35" si="2">L25*25+M25*298+K25</f>
        <v>43.07858592736951</v>
      </c>
      <c r="U25" s="413"/>
      <c r="V25" s="413"/>
    </row>
    <row r="26" spans="1:23" s="197" customFormat="1" ht="14.45" customHeight="1" x14ac:dyDescent="0.2">
      <c r="A26" s="483"/>
      <c r="B26" s="550">
        <f>B20</f>
        <v>30.06</v>
      </c>
      <c r="C26" s="551">
        <f>C20</f>
        <v>1239.69</v>
      </c>
      <c r="D26" s="551"/>
      <c r="E26" s="552"/>
      <c r="F26" s="552"/>
      <c r="G26" s="552"/>
      <c r="H26" s="553"/>
      <c r="I26" s="554"/>
      <c r="J26" s="134" t="s">
        <v>495</v>
      </c>
      <c r="K26" s="555"/>
      <c r="L26" s="556"/>
      <c r="M26" s="203">
        <f>B26*0.48160436946712*44/28/1000</f>
        <v>2.2749614401142558E-2</v>
      </c>
      <c r="N26" s="556"/>
      <c r="O26" s="556"/>
      <c r="P26" s="229">
        <f t="shared" si="2"/>
        <v>6.7793850915404823</v>
      </c>
      <c r="U26" s="413"/>
      <c r="V26" s="413"/>
    </row>
    <row r="27" spans="1:23" s="197" customFormat="1" ht="14.45" customHeight="1" thickBot="1" x14ac:dyDescent="0.25">
      <c r="A27" s="483"/>
      <c r="B27" s="550">
        <f>B23</f>
        <v>13.25</v>
      </c>
      <c r="C27" s="551">
        <f>C23</f>
        <v>355.1875</v>
      </c>
      <c r="D27" s="551">
        <f>D23</f>
        <v>10.75</v>
      </c>
      <c r="E27" s="552"/>
      <c r="F27" s="552"/>
      <c r="G27" s="552"/>
      <c r="H27" s="553"/>
      <c r="I27" s="554"/>
      <c r="J27" s="134" t="s">
        <v>496</v>
      </c>
      <c r="K27" s="555"/>
      <c r="L27" s="556"/>
      <c r="M27" s="556">
        <f>(B27*0.6578569013052+C27*3.94762807096738+D27*7.49053525451861)*44/28/1000</f>
        <v>2.3436097196051495</v>
      </c>
      <c r="N27" s="556"/>
      <c r="O27" s="556"/>
      <c r="P27" s="557">
        <f t="shared" si="2"/>
        <v>698.39569644233461</v>
      </c>
      <c r="Q27" s="545"/>
      <c r="U27" s="413"/>
      <c r="V27" s="413"/>
    </row>
    <row r="28" spans="1:23" s="197" customFormat="1" ht="14.45" customHeight="1" x14ac:dyDescent="0.2">
      <c r="A28" s="483"/>
      <c r="B28" s="717">
        <v>260.40625</v>
      </c>
      <c r="C28" s="625">
        <v>1269.375</v>
      </c>
      <c r="D28" s="625">
        <v>127.625</v>
      </c>
      <c r="E28" s="220"/>
      <c r="F28" s="220"/>
      <c r="G28" s="220"/>
      <c r="H28" s="558"/>
      <c r="I28" s="559"/>
      <c r="J28" s="560" t="s">
        <v>497</v>
      </c>
      <c r="K28" s="388">
        <f>(C28*216.31/1000)+(D28*239.06/1000)</f>
        <v>305.08853875</v>
      </c>
      <c r="L28" s="389">
        <f>(B28*64.17/1000)+(C28*43.01/1000)+(D28*57.26/1000)</f>
        <v>78.613895312499992</v>
      </c>
      <c r="M28" s="389">
        <f>(B28*4.39/1000)</f>
        <v>1.1431834374999998</v>
      </c>
      <c r="N28" s="389"/>
      <c r="O28" s="389">
        <f t="shared" si="0"/>
        <v>1.5754161575880987</v>
      </c>
      <c r="P28" s="562">
        <f t="shared" si="2"/>
        <v>2611.1045859374999</v>
      </c>
      <c r="U28" s="413"/>
      <c r="V28" s="413"/>
    </row>
    <row r="29" spans="1:23" s="197" customFormat="1" ht="14.45" customHeight="1" x14ac:dyDescent="0.2">
      <c r="A29" s="483"/>
      <c r="B29" s="492"/>
      <c r="C29" s="338">
        <v>1003.1875</v>
      </c>
      <c r="D29" s="338">
        <v>164.6875</v>
      </c>
      <c r="E29" s="208"/>
      <c r="F29" s="208"/>
      <c r="G29" s="208"/>
      <c r="H29" s="232"/>
      <c r="I29" s="512"/>
      <c r="J29" s="128" t="s">
        <v>498</v>
      </c>
      <c r="K29" s="376">
        <f>(C29*216.31/1000)+(D29*239.06/1000)</f>
        <v>256.36968187499997</v>
      </c>
      <c r="L29" s="203">
        <f>(C29*43.01/1000)+(D29*57.26/1000)</f>
        <v>52.577100625</v>
      </c>
      <c r="M29" s="203"/>
      <c r="N29" s="203"/>
      <c r="O29" s="203">
        <f t="shared" si="0"/>
        <v>1.3450045574226694</v>
      </c>
      <c r="P29" s="229">
        <f t="shared" si="2"/>
        <v>1570.7971975</v>
      </c>
      <c r="U29" s="413"/>
      <c r="V29" s="413"/>
    </row>
    <row r="30" spans="1:23" s="197" customFormat="1" ht="14.45" customHeight="1" x14ac:dyDescent="0.2">
      <c r="A30" s="483"/>
      <c r="B30" s="492"/>
      <c r="C30" s="338">
        <v>39.6875</v>
      </c>
      <c r="D30" s="338">
        <v>16.625</v>
      </c>
      <c r="E30" s="208"/>
      <c r="F30" s="208"/>
      <c r="G30" s="208"/>
      <c r="H30" s="232"/>
      <c r="I30" s="512"/>
      <c r="J30" s="128" t="s">
        <v>499</v>
      </c>
      <c r="K30" s="376"/>
      <c r="L30" s="203">
        <f>(C30+D30)*19.5/1000</f>
        <v>1.0980937500000001</v>
      </c>
      <c r="M30" s="203"/>
      <c r="N30" s="203"/>
      <c r="O30" s="203"/>
      <c r="P30" s="229">
        <f t="shared" si="2"/>
        <v>27.452343750000001</v>
      </c>
      <c r="U30" s="413"/>
      <c r="V30" s="413"/>
    </row>
    <row r="31" spans="1:23" s="197" customFormat="1" ht="14.45" customHeight="1" x14ac:dyDescent="0.2">
      <c r="A31" s="483"/>
      <c r="B31" s="492"/>
      <c r="C31" s="710">
        <v>21.9375</v>
      </c>
      <c r="D31" s="710">
        <v>23.4375</v>
      </c>
      <c r="E31" s="208"/>
      <c r="F31" s="208"/>
      <c r="G31" s="208"/>
      <c r="H31" s="232"/>
      <c r="I31" s="512"/>
      <c r="J31" s="128" t="s">
        <v>500</v>
      </c>
      <c r="K31" s="376"/>
      <c r="L31" s="203">
        <f>(C31+D31)*39/1000</f>
        <v>1.769625</v>
      </c>
      <c r="M31" s="203"/>
      <c r="N31" s="203"/>
      <c r="O31" s="203"/>
      <c r="P31" s="229">
        <f t="shared" si="2"/>
        <v>44.240625000000001</v>
      </c>
      <c r="U31" s="413"/>
      <c r="V31" s="413"/>
    </row>
    <row r="32" spans="1:23" s="197" customFormat="1" ht="14.45" customHeight="1" x14ac:dyDescent="0.2">
      <c r="A32" s="483"/>
      <c r="B32" s="492"/>
      <c r="C32" s="208"/>
      <c r="D32" s="208"/>
      <c r="E32" s="208"/>
      <c r="F32" s="208"/>
      <c r="G32" s="208"/>
      <c r="H32" s="718">
        <v>0</v>
      </c>
      <c r="I32" s="512"/>
      <c r="J32" s="128" t="s">
        <v>501</v>
      </c>
      <c r="K32" s="376"/>
      <c r="L32" s="203">
        <f>H32*33.2/1000</f>
        <v>0</v>
      </c>
      <c r="M32" s="203">
        <f>H32*0.47/1000</f>
        <v>0</v>
      </c>
      <c r="N32" s="203"/>
      <c r="O32" s="203"/>
      <c r="P32" s="229">
        <f t="shared" si="2"/>
        <v>0</v>
      </c>
      <c r="U32" s="413"/>
      <c r="V32" s="413"/>
    </row>
    <row r="33" spans="1:22" s="197" customFormat="1" ht="14.45" customHeight="1" x14ac:dyDescent="0.2">
      <c r="A33" s="483"/>
      <c r="B33" s="492"/>
      <c r="C33" s="208"/>
      <c r="D33" s="208"/>
      <c r="E33" s="338">
        <v>1346.6875</v>
      </c>
      <c r="F33" s="208"/>
      <c r="G33" s="208"/>
      <c r="H33" s="232"/>
      <c r="I33" s="512"/>
      <c r="J33" s="128" t="s">
        <v>502</v>
      </c>
      <c r="K33" s="376"/>
      <c r="L33" s="203">
        <f>E33*287.55/1000</f>
        <v>387.23999062500002</v>
      </c>
      <c r="M33" s="203"/>
      <c r="N33" s="203"/>
      <c r="O33" s="203">
        <f t="shared" si="0"/>
        <v>7.1887499999999998</v>
      </c>
      <c r="P33" s="229">
        <f t="shared" si="2"/>
        <v>9680.9997656249998</v>
      </c>
      <c r="Q33" s="545"/>
      <c r="U33" s="413"/>
      <c r="V33" s="413"/>
    </row>
    <row r="34" spans="1:22" s="197" customFormat="1" ht="14.45" customHeight="1" x14ac:dyDescent="0.2">
      <c r="A34" s="483"/>
      <c r="B34" s="492"/>
      <c r="C34" s="208"/>
      <c r="D34" s="338">
        <v>0</v>
      </c>
      <c r="E34" s="208"/>
      <c r="F34" s="208"/>
      <c r="G34" s="208"/>
      <c r="H34" s="232"/>
      <c r="I34" s="512"/>
      <c r="J34" s="128" t="s">
        <v>503</v>
      </c>
      <c r="K34" s="376"/>
      <c r="L34" s="203">
        <f>D34*1.6698</f>
        <v>0</v>
      </c>
      <c r="M34" s="203">
        <f>D34*0.15246</f>
        <v>0</v>
      </c>
      <c r="N34" s="203"/>
      <c r="O34" s="203"/>
      <c r="P34" s="229">
        <f t="shared" si="2"/>
        <v>0</v>
      </c>
      <c r="U34" s="413"/>
      <c r="V34" s="413"/>
    </row>
    <row r="35" spans="1:22" s="197" customFormat="1" ht="14.45" customHeight="1" x14ac:dyDescent="0.2">
      <c r="A35" s="483"/>
      <c r="B35" s="376"/>
      <c r="C35" s="203"/>
      <c r="D35" s="338">
        <v>0</v>
      </c>
      <c r="E35" s="203"/>
      <c r="F35" s="203"/>
      <c r="G35" s="203"/>
      <c r="H35" s="563"/>
      <c r="I35" s="494"/>
      <c r="J35" s="128" t="s">
        <v>504</v>
      </c>
      <c r="K35" s="376"/>
      <c r="L35" s="203">
        <f>D35*1.6698</f>
        <v>0</v>
      </c>
      <c r="M35" s="203">
        <f>D35*0.15246</f>
        <v>0</v>
      </c>
      <c r="N35" s="203"/>
      <c r="O35" s="203"/>
      <c r="P35" s="229">
        <f t="shared" si="2"/>
        <v>0</v>
      </c>
      <c r="Q35" s="544"/>
      <c r="U35" s="413"/>
      <c r="V35" s="413"/>
    </row>
    <row r="36" spans="1:22" s="197" customFormat="1" ht="18.75" customHeight="1" x14ac:dyDescent="0.2">
      <c r="A36" s="483"/>
      <c r="B36" s="564"/>
      <c r="C36" s="565"/>
      <c r="D36" s="565"/>
      <c r="E36" s="565"/>
      <c r="F36" s="565"/>
      <c r="G36" s="565"/>
      <c r="H36" s="566"/>
      <c r="I36" s="567"/>
      <c r="J36" s="568" t="s">
        <v>505</v>
      </c>
      <c r="K36" s="564"/>
      <c r="L36" s="565"/>
      <c r="M36" s="565"/>
      <c r="N36" s="565"/>
      <c r="O36" s="565"/>
      <c r="P36" s="569"/>
      <c r="U36" s="413"/>
    </row>
    <row r="37" spans="1:22" s="197" customFormat="1" x14ac:dyDescent="0.2">
      <c r="A37" s="525"/>
      <c r="B37" s="376"/>
      <c r="C37" s="203"/>
      <c r="D37" s="203"/>
      <c r="E37" s="203"/>
      <c r="F37" s="203"/>
      <c r="G37" s="203"/>
      <c r="H37" s="493"/>
      <c r="I37" s="713">
        <v>-493762.66243775189</v>
      </c>
      <c r="J37" s="128" t="s">
        <v>506</v>
      </c>
      <c r="K37" s="711">
        <v>4928.6077806787416</v>
      </c>
      <c r="L37" s="203"/>
      <c r="M37" s="203"/>
      <c r="N37" s="203"/>
      <c r="O37" s="203"/>
      <c r="P37" s="229">
        <f>L37*25+M37*298+K37</f>
        <v>4928.6077806787416</v>
      </c>
    </row>
    <row r="38" spans="1:22" s="197" customFormat="1" x14ac:dyDescent="0.2">
      <c r="A38" s="525"/>
      <c r="B38" s="376"/>
      <c r="C38" s="203"/>
      <c r="D38" s="203"/>
      <c r="E38" s="203"/>
      <c r="F38" s="203"/>
      <c r="G38" s="203"/>
      <c r="H38" s="493"/>
      <c r="I38" s="713">
        <v>211587.35748800635</v>
      </c>
      <c r="J38" s="128" t="s">
        <v>507</v>
      </c>
      <c r="K38" s="711">
        <v>-2480.9186536373527</v>
      </c>
      <c r="L38" s="203"/>
      <c r="M38" s="203"/>
      <c r="N38" s="203"/>
      <c r="O38" s="203"/>
      <c r="P38" s="229">
        <f t="shared" ref="P38:P39" si="3">L38*25+M38*298+K38</f>
        <v>-2480.9186536373527</v>
      </c>
    </row>
    <row r="39" spans="1:22" s="197" customFormat="1" ht="15" thickBot="1" x14ac:dyDescent="0.25">
      <c r="A39" s="525"/>
      <c r="B39" s="381"/>
      <c r="C39" s="382"/>
      <c r="D39" s="382"/>
      <c r="E39" s="382"/>
      <c r="F39" s="382"/>
      <c r="G39" s="382"/>
      <c r="H39" s="498"/>
      <c r="I39" s="719">
        <v>-152253.59746839432</v>
      </c>
      <c r="J39" s="135" t="s">
        <v>508</v>
      </c>
      <c r="K39" s="720">
        <v>1717.1202547973878</v>
      </c>
      <c r="L39" s="382"/>
      <c r="M39" s="382"/>
      <c r="N39" s="382"/>
      <c r="O39" s="382"/>
      <c r="P39" s="236">
        <f t="shared" si="3"/>
        <v>1717.1202547973878</v>
      </c>
      <c r="S39" s="413"/>
    </row>
    <row r="40" spans="1:22" s="197" customFormat="1" ht="15.75" thickBot="1" x14ac:dyDescent="0.3">
      <c r="B40" s="571"/>
      <c r="C40" s="572"/>
      <c r="D40" s="572"/>
      <c r="E40" s="572"/>
      <c r="F40" s="572"/>
      <c r="G40" s="572"/>
      <c r="H40" s="573"/>
      <c r="I40" s="574"/>
      <c r="J40" s="575" t="s">
        <v>509</v>
      </c>
      <c r="K40" s="576">
        <f>SUM(K10:K35)+SUM(K37:K39)</f>
        <v>4726.2676024637767</v>
      </c>
      <c r="L40" s="404">
        <f>SUM(L10:L35)+SUM(L37:L39)</f>
        <v>521.29870531250003</v>
      </c>
      <c r="M40" s="404">
        <f>SUM(M10:M35)+SUM(M37:M39)</f>
        <v>3.654101784685384</v>
      </c>
      <c r="N40" s="404">
        <f>SUM(N10:N35)+SUM(N37:N39)</f>
        <v>-35581.217645087847</v>
      </c>
      <c r="O40" s="404"/>
      <c r="P40" s="412">
        <f>SUM(P10:P35,P37:P39)</f>
        <v>149312.12226576798</v>
      </c>
    </row>
    <row r="41" spans="1:22" s="197" customFormat="1" x14ac:dyDescent="0.2">
      <c r="M41" s="462"/>
      <c r="P41" s="413"/>
    </row>
    <row r="42" spans="1:22" s="197" customFormat="1" ht="23.25" customHeight="1" x14ac:dyDescent="0.2">
      <c r="B42" s="577"/>
      <c r="M42" s="462"/>
      <c r="P42" s="413"/>
    </row>
    <row r="43" spans="1:22" s="197" customFormat="1" x14ac:dyDescent="0.2">
      <c r="M43" s="462"/>
      <c r="P43" s="413"/>
    </row>
    <row r="44" spans="1:22" s="197" customFormat="1" x14ac:dyDescent="0.2">
      <c r="B44" s="198"/>
      <c r="M44" s="462"/>
      <c r="P44" s="413"/>
    </row>
    <row r="45" spans="1:22" s="197" customFormat="1" x14ac:dyDescent="0.2">
      <c r="M45" s="462"/>
      <c r="P45" s="413"/>
    </row>
    <row r="46" spans="1:22" s="197" customFormat="1" x14ac:dyDescent="0.2">
      <c r="M46" s="462"/>
      <c r="P46" s="413"/>
    </row>
    <row r="47" spans="1:22" s="197" customFormat="1" x14ac:dyDescent="0.2">
      <c r="M47" s="462"/>
      <c r="P47" s="413"/>
    </row>
    <row r="48" spans="1:22" s="197" customFormat="1" x14ac:dyDescent="0.2">
      <c r="M48" s="462"/>
      <c r="P48" s="413"/>
    </row>
    <row r="49" spans="13:16" s="197" customFormat="1" x14ac:dyDescent="0.2">
      <c r="M49" s="462"/>
      <c r="P49" s="413"/>
    </row>
    <row r="50" spans="13:16" s="197" customFormat="1" x14ac:dyDescent="0.2">
      <c r="M50" s="462"/>
      <c r="P50" s="413"/>
    </row>
    <row r="51" spans="13:16" s="197" customFormat="1" x14ac:dyDescent="0.2">
      <c r="M51" s="462"/>
      <c r="P51" s="413"/>
    </row>
    <row r="52" spans="13:16" s="197" customFormat="1" x14ac:dyDescent="0.2">
      <c r="M52" s="462"/>
      <c r="P52" s="413"/>
    </row>
    <row r="53" spans="13:16" s="197" customFormat="1" x14ac:dyDescent="0.2">
      <c r="M53" s="462"/>
      <c r="P53" s="413"/>
    </row>
    <row r="54" spans="13:16" s="197" customFormat="1" x14ac:dyDescent="0.2">
      <c r="M54" s="462"/>
      <c r="P54" s="413"/>
    </row>
    <row r="55" spans="13:16" s="197" customFormat="1" x14ac:dyDescent="0.2">
      <c r="M55" s="462"/>
      <c r="P55" s="413"/>
    </row>
    <row r="56" spans="13:16" s="197" customFormat="1" x14ac:dyDescent="0.2">
      <c r="M56" s="462"/>
      <c r="P56" s="413"/>
    </row>
    <row r="57" spans="13:16" s="197" customFormat="1" x14ac:dyDescent="0.2">
      <c r="M57" s="462"/>
      <c r="P57" s="413"/>
    </row>
    <row r="58" spans="13:16" s="197" customFormat="1" x14ac:dyDescent="0.2">
      <c r="M58" s="462"/>
      <c r="P58" s="413"/>
    </row>
    <row r="59" spans="13:16" s="197" customFormat="1" x14ac:dyDescent="0.2">
      <c r="M59" s="462"/>
      <c r="P59" s="413"/>
    </row>
    <row r="60" spans="13:16" s="197" customFormat="1" x14ac:dyDescent="0.2">
      <c r="M60" s="462"/>
      <c r="P60" s="413"/>
    </row>
    <row r="61" spans="13:16" s="197" customFormat="1" x14ac:dyDescent="0.2">
      <c r="M61" s="462"/>
      <c r="P61" s="413"/>
    </row>
    <row r="62" spans="13:16" s="197" customFormat="1" x14ac:dyDescent="0.2">
      <c r="M62" s="462"/>
      <c r="P62" s="413"/>
    </row>
    <row r="63" spans="13:16" s="197" customFormat="1" x14ac:dyDescent="0.2">
      <c r="M63" s="462"/>
      <c r="P63" s="413"/>
    </row>
    <row r="64" spans="13:16" s="197" customFormat="1" x14ac:dyDescent="0.2">
      <c r="M64" s="462"/>
      <c r="P64" s="413"/>
    </row>
    <row r="65" spans="13:16" s="197" customFormat="1" x14ac:dyDescent="0.2">
      <c r="M65" s="462"/>
      <c r="P65" s="413"/>
    </row>
    <row r="66" spans="13:16" s="197" customFormat="1" x14ac:dyDescent="0.2">
      <c r="M66" s="462"/>
      <c r="P66" s="413"/>
    </row>
    <row r="67" spans="13:16" s="197" customFormat="1" x14ac:dyDescent="0.2">
      <c r="M67" s="462"/>
      <c r="P67" s="413"/>
    </row>
    <row r="68" spans="13:16" s="197" customFormat="1" x14ac:dyDescent="0.2">
      <c r="M68" s="462"/>
      <c r="P68" s="413"/>
    </row>
    <row r="69" spans="13:16" s="197" customFormat="1" x14ac:dyDescent="0.2">
      <c r="M69" s="462"/>
      <c r="P69" s="413"/>
    </row>
    <row r="70" spans="13:16" s="197" customFormat="1" x14ac:dyDescent="0.2">
      <c r="M70" s="462"/>
      <c r="P70" s="413"/>
    </row>
    <row r="71" spans="13:16" s="197" customFormat="1" x14ac:dyDescent="0.2">
      <c r="M71" s="462"/>
      <c r="P71" s="413"/>
    </row>
    <row r="72" spans="13:16" s="197" customFormat="1" x14ac:dyDescent="0.2">
      <c r="M72" s="462"/>
      <c r="P72" s="413"/>
    </row>
    <row r="73" spans="13:16" s="197" customFormat="1" x14ac:dyDescent="0.2">
      <c r="M73" s="462"/>
      <c r="P73" s="413"/>
    </row>
    <row r="74" spans="13:16" s="197" customFormat="1" x14ac:dyDescent="0.2">
      <c r="M74" s="462"/>
      <c r="P74" s="413"/>
    </row>
    <row r="75" spans="13:16" s="197" customFormat="1" x14ac:dyDescent="0.2">
      <c r="M75" s="462"/>
      <c r="P75" s="413"/>
    </row>
    <row r="76" spans="13:16" s="197" customFormat="1" x14ac:dyDescent="0.2">
      <c r="M76" s="462"/>
      <c r="P76" s="413"/>
    </row>
    <row r="77" spans="13:16" s="197" customFormat="1" x14ac:dyDescent="0.2">
      <c r="M77" s="462"/>
      <c r="P77" s="413"/>
    </row>
    <row r="78" spans="13:16" s="197" customFormat="1" x14ac:dyDescent="0.2">
      <c r="M78" s="462"/>
      <c r="P78" s="413"/>
    </row>
    <row r="79" spans="13:16" s="197" customFormat="1" x14ac:dyDescent="0.2">
      <c r="M79" s="462"/>
      <c r="P79" s="413"/>
    </row>
    <row r="80" spans="13:16" s="197" customFormat="1" x14ac:dyDescent="0.2">
      <c r="M80" s="462"/>
      <c r="P80" s="413"/>
    </row>
    <row r="81" spans="13:16" s="197" customFormat="1" x14ac:dyDescent="0.2">
      <c r="M81" s="462"/>
      <c r="P81" s="413"/>
    </row>
    <row r="82" spans="13:16" s="197" customFormat="1" x14ac:dyDescent="0.2">
      <c r="M82" s="462"/>
      <c r="P82" s="413"/>
    </row>
    <row r="83" spans="13:16" s="197" customFormat="1" x14ac:dyDescent="0.2">
      <c r="M83" s="462"/>
      <c r="P83" s="413"/>
    </row>
    <row r="84" spans="13:16" s="197" customFormat="1" x14ac:dyDescent="0.2">
      <c r="M84" s="462"/>
      <c r="P84" s="413"/>
    </row>
    <row r="85" spans="13:16" s="197" customFormat="1" x14ac:dyDescent="0.2">
      <c r="M85" s="462"/>
      <c r="P85" s="413"/>
    </row>
    <row r="86" spans="13:16" s="197" customFormat="1" x14ac:dyDescent="0.2">
      <c r="M86" s="462"/>
      <c r="P86" s="413"/>
    </row>
    <row r="87" spans="13:16" s="197" customFormat="1" x14ac:dyDescent="0.2">
      <c r="M87" s="462"/>
      <c r="P87" s="413"/>
    </row>
  </sheetData>
  <mergeCells count="2">
    <mergeCell ref="B7:H7"/>
    <mergeCell ref="K7:P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67E0B-EEE6-4941-BA9F-733C4B032858}">
  <sheetPr codeName="Ark15">
    <tabColor rgb="FF92D050"/>
  </sheetPr>
  <dimension ref="A1:N207"/>
  <sheetViews>
    <sheetView showGridLines="0" topLeftCell="A25" workbookViewId="0">
      <selection activeCell="J15" sqref="J15"/>
    </sheetView>
  </sheetViews>
  <sheetFormatPr defaultColWidth="9.140625" defaultRowHeight="14.25" x14ac:dyDescent="0.2"/>
  <cols>
    <col min="1" max="1" width="23.28515625" style="197" customWidth="1"/>
    <col min="2" max="3" width="8.5703125" style="197" customWidth="1"/>
    <col min="4" max="4" width="11.85546875" style="197" customWidth="1"/>
    <col min="5" max="5" width="18.42578125" style="197" bestFit="1" customWidth="1"/>
    <col min="6" max="7" width="9.140625" style="197"/>
    <col min="8" max="8" width="18.7109375" style="197" bestFit="1" customWidth="1"/>
    <col min="9" max="9" width="64.5703125" style="201" customWidth="1"/>
    <col min="10" max="10" width="10.5703125" style="197" customWidth="1"/>
    <col min="11" max="12" width="9.140625" style="197"/>
    <col min="13" max="13" width="18.5703125" style="197" bestFit="1" customWidth="1"/>
    <col min="14" max="14" width="10.5703125" style="197" customWidth="1"/>
    <col min="15" max="16384" width="9.140625" style="197"/>
  </cols>
  <sheetData>
    <row r="1" spans="1:14" ht="15" thickBot="1" x14ac:dyDescent="0.25">
      <c r="I1" s="197"/>
    </row>
    <row r="2" spans="1:14" x14ac:dyDescent="0.2">
      <c r="A2" s="578" t="s">
        <v>363</v>
      </c>
      <c r="B2" s="579"/>
      <c r="C2" s="580"/>
      <c r="D2" s="341">
        <v>2018</v>
      </c>
      <c r="F2" s="10"/>
      <c r="G2" s="10"/>
      <c r="H2" s="10"/>
    </row>
    <row r="3" spans="1:14" ht="15" thickBot="1" x14ac:dyDescent="0.25">
      <c r="A3" s="581" t="s">
        <v>510</v>
      </c>
      <c r="B3" s="343" t="s">
        <v>247</v>
      </c>
      <c r="C3" s="343"/>
      <c r="D3" s="345"/>
      <c r="F3" s="346"/>
      <c r="G3" s="346"/>
      <c r="H3" s="346"/>
      <c r="I3" s="582" t="s">
        <v>241</v>
      </c>
    </row>
    <row r="4" spans="1:14" ht="27.75" x14ac:dyDescent="0.2">
      <c r="F4" s="10"/>
      <c r="G4" s="10"/>
      <c r="H4" s="10"/>
      <c r="I4" s="347" t="s">
        <v>511</v>
      </c>
    </row>
    <row r="5" spans="1:14" x14ac:dyDescent="0.2">
      <c r="F5" s="10"/>
      <c r="G5" s="10"/>
      <c r="H5" s="10"/>
      <c r="I5" s="668" t="str">
        <f>'[1]Industrielle processer 2018'!I5</f>
        <v>Skive kommune</v>
      </c>
    </row>
    <row r="6" spans="1:14" x14ac:dyDescent="0.2">
      <c r="F6" s="10"/>
      <c r="G6" s="10"/>
      <c r="H6" s="10"/>
      <c r="I6" s="197"/>
    </row>
    <row r="7" spans="1:14" x14ac:dyDescent="0.2">
      <c r="I7" s="197"/>
    </row>
    <row r="8" spans="1:14" x14ac:dyDescent="0.2">
      <c r="I8" s="197"/>
    </row>
    <row r="9" spans="1:14" ht="15" thickBot="1" x14ac:dyDescent="0.25">
      <c r="B9" s="776" t="s">
        <v>512</v>
      </c>
      <c r="C9" s="777"/>
      <c r="D9" s="777"/>
      <c r="E9" s="777"/>
      <c r="F9" s="777"/>
      <c r="G9" s="777"/>
      <c r="H9" s="778"/>
      <c r="I9" s="350" t="s">
        <v>372</v>
      </c>
      <c r="J9" s="776" t="s">
        <v>373</v>
      </c>
      <c r="K9" s="777"/>
      <c r="L9" s="777"/>
      <c r="M9" s="777"/>
      <c r="N9" s="778"/>
    </row>
    <row r="10" spans="1:14" ht="130.5" customHeight="1" thickBot="1" x14ac:dyDescent="0.25">
      <c r="B10" s="351" t="s">
        <v>513</v>
      </c>
      <c r="C10" s="352" t="s">
        <v>329</v>
      </c>
      <c r="D10" s="352" t="s">
        <v>330</v>
      </c>
      <c r="E10" s="352" t="s">
        <v>331</v>
      </c>
      <c r="F10" s="352" t="s">
        <v>332</v>
      </c>
      <c r="G10" s="352" t="s">
        <v>333</v>
      </c>
      <c r="H10" s="353" t="s">
        <v>334</v>
      </c>
      <c r="I10" s="583"/>
      <c r="J10" s="357" t="s">
        <v>392</v>
      </c>
      <c r="K10" s="352" t="s">
        <v>514</v>
      </c>
      <c r="L10" s="352" t="s">
        <v>515</v>
      </c>
      <c r="M10" s="352" t="s">
        <v>516</v>
      </c>
      <c r="N10" s="358" t="s">
        <v>396</v>
      </c>
    </row>
    <row r="11" spans="1:14" x14ac:dyDescent="0.2">
      <c r="A11" s="779"/>
      <c r="B11" s="584"/>
      <c r="C11" s="585"/>
      <c r="D11" s="585"/>
      <c r="E11" s="585"/>
      <c r="F11" s="585"/>
      <c r="G11" s="585"/>
      <c r="H11" s="586"/>
      <c r="I11" s="560" t="s">
        <v>517</v>
      </c>
      <c r="J11" s="721">
        <v>0</v>
      </c>
      <c r="K11" s="365"/>
      <c r="L11" s="365"/>
      <c r="M11" s="587"/>
      <c r="N11" s="229">
        <f>+J11+K11*'Grafer-klima'!$O$9+'Industrielle processer 2018'!L11*'Grafer-klima'!$P$9+'Industrielle processer 2018'!M11</f>
        <v>0</v>
      </c>
    </row>
    <row r="12" spans="1:14" x14ac:dyDescent="0.2">
      <c r="A12" s="779"/>
      <c r="B12" s="376"/>
      <c r="C12" s="588"/>
      <c r="D12" s="588"/>
      <c r="E12" s="588"/>
      <c r="F12" s="588"/>
      <c r="G12" s="588"/>
      <c r="H12" s="589"/>
      <c r="I12" s="128" t="s">
        <v>518</v>
      </c>
      <c r="J12" s="722">
        <v>0</v>
      </c>
      <c r="K12" s="590"/>
      <c r="L12" s="590"/>
      <c r="M12" s="203"/>
      <c r="N12" s="229">
        <f>+J12+K12*'Grafer-klima'!$O$9+'Industrielle processer 2018'!L12*'Grafer-klima'!$P$9+'Industrielle processer 2018'!M12</f>
        <v>0</v>
      </c>
    </row>
    <row r="13" spans="1:14" x14ac:dyDescent="0.2">
      <c r="A13" s="779"/>
      <c r="B13" s="591"/>
      <c r="C13" s="588"/>
      <c r="D13" s="588"/>
      <c r="E13" s="588"/>
      <c r="F13" s="588"/>
      <c r="G13" s="588"/>
      <c r="H13" s="589"/>
      <c r="I13" s="128" t="s">
        <v>519</v>
      </c>
      <c r="J13" s="722">
        <v>0</v>
      </c>
      <c r="K13" s="590"/>
      <c r="L13" s="590"/>
      <c r="M13" s="203"/>
      <c r="N13" s="229">
        <f>+J13+K13*'Grafer-klima'!$O$9+'Industrielle processer 2018'!L13*'Grafer-klima'!$P$9+'Industrielle processer 2018'!M13</f>
        <v>0</v>
      </c>
    </row>
    <row r="14" spans="1:14" x14ac:dyDescent="0.2">
      <c r="A14" s="779"/>
      <c r="B14" s="591"/>
      <c r="C14" s="588"/>
      <c r="D14" s="588"/>
      <c r="E14" s="588"/>
      <c r="F14" s="588"/>
      <c r="G14" s="588"/>
      <c r="H14" s="589"/>
      <c r="I14" s="128" t="s">
        <v>520</v>
      </c>
      <c r="J14" s="722">
        <v>137.76</v>
      </c>
      <c r="K14" s="590"/>
      <c r="L14" s="590"/>
      <c r="M14" s="203"/>
      <c r="N14" s="229">
        <f>+J14+K14*'Grafer-klima'!$O$9+'Industrielle processer 2018'!L14*'Grafer-klima'!$P$9+'Industrielle processer 2018'!M14</f>
        <v>137.76</v>
      </c>
    </row>
    <row r="15" spans="1:14" x14ac:dyDescent="0.2">
      <c r="A15" s="779"/>
      <c r="B15" s="723">
        <v>357.86355185096835</v>
      </c>
      <c r="C15" s="588"/>
      <c r="D15" s="588"/>
      <c r="E15" s="588"/>
      <c r="F15" s="588"/>
      <c r="G15" s="588"/>
      <c r="H15" s="589"/>
      <c r="I15" s="128" t="s">
        <v>521</v>
      </c>
      <c r="J15" s="722">
        <v>146.72405625889701</v>
      </c>
      <c r="K15" s="590"/>
      <c r="L15" s="590"/>
      <c r="M15" s="203"/>
      <c r="N15" s="229">
        <f>+J15+K15*'Grafer-klima'!$O$9+'Industrielle processer 2018'!L15*'Grafer-klima'!$P$9+'Industrielle processer 2018'!M15</f>
        <v>146.72405625889701</v>
      </c>
    </row>
    <row r="16" spans="1:14" x14ac:dyDescent="0.2">
      <c r="B16" s="376"/>
      <c r="C16" s="203"/>
      <c r="D16" s="203"/>
      <c r="E16" s="203"/>
      <c r="F16" s="203"/>
      <c r="G16" s="203"/>
      <c r="H16" s="493"/>
      <c r="I16" s="128" t="s">
        <v>522</v>
      </c>
      <c r="J16" s="722">
        <v>0</v>
      </c>
      <c r="K16" s="203"/>
      <c r="L16" s="203"/>
      <c r="M16" s="203"/>
      <c r="N16" s="229">
        <f>+J16+K16*'Grafer-klima'!$O$9+'Industrielle processer 2018'!L16*'Grafer-klima'!$P$9+'Industrielle processer 2018'!M16</f>
        <v>0</v>
      </c>
    </row>
    <row r="17" spans="2:14" x14ac:dyDescent="0.2">
      <c r="B17" s="593"/>
      <c r="C17" s="556"/>
      <c r="D17" s="556"/>
      <c r="E17" s="556"/>
      <c r="F17" s="556"/>
      <c r="G17" s="556"/>
      <c r="H17" s="594"/>
      <c r="I17" s="134" t="s">
        <v>523</v>
      </c>
      <c r="J17" s="722">
        <v>0</v>
      </c>
      <c r="K17" s="556"/>
      <c r="L17" s="556"/>
      <c r="M17" s="556"/>
      <c r="N17" s="229">
        <f>+J17+K17*'Grafer-klima'!$O$9+'Industrielle processer 2018'!L17*'Grafer-klima'!$P$9+'Industrielle processer 2018'!M17</f>
        <v>0</v>
      </c>
    </row>
    <row r="18" spans="2:14" x14ac:dyDescent="0.2">
      <c r="B18" s="376"/>
      <c r="C18" s="203"/>
      <c r="D18" s="203"/>
      <c r="E18" s="203"/>
      <c r="F18" s="203"/>
      <c r="G18" s="203"/>
      <c r="H18" s="493"/>
      <c r="I18" s="128" t="s">
        <v>524</v>
      </c>
      <c r="J18" s="722">
        <v>0</v>
      </c>
      <c r="K18" s="203"/>
      <c r="L18" s="203"/>
      <c r="M18" s="203"/>
      <c r="N18" s="229">
        <f>+J18+K18*'Grafer-klima'!$O$9+'Industrielle processer 2018'!L18*'Grafer-klima'!$P$9+'Industrielle processer 2018'!M18</f>
        <v>0</v>
      </c>
    </row>
    <row r="19" spans="2:14" ht="15" thickBot="1" x14ac:dyDescent="0.25">
      <c r="B19" s="595"/>
      <c r="C19" s="596"/>
      <c r="D19" s="596"/>
      <c r="E19" s="596"/>
      <c r="F19" s="596"/>
      <c r="G19" s="596"/>
      <c r="H19" s="597"/>
      <c r="I19" s="598" t="s">
        <v>525</v>
      </c>
      <c r="J19" s="722">
        <v>999.18</v>
      </c>
      <c r="K19" s="596"/>
      <c r="L19" s="596"/>
      <c r="M19" s="596"/>
      <c r="N19" s="236">
        <f>+J19+K19*'Grafer-klima'!$O$9+'Industrielle processer 2018'!L19*'Grafer-klima'!$P$9+'Industrielle processer 2018'!M19</f>
        <v>999.18</v>
      </c>
    </row>
    <row r="20" spans="2:14" x14ac:dyDescent="0.2">
      <c r="B20" s="388"/>
      <c r="C20" s="625">
        <v>472.5296954968253</v>
      </c>
      <c r="D20" s="389"/>
      <c r="E20" s="389"/>
      <c r="F20" s="389"/>
      <c r="G20" s="389"/>
      <c r="H20" s="599"/>
      <c r="I20" s="560" t="s">
        <v>526</v>
      </c>
      <c r="J20" s="561">
        <f>C20*0.02</f>
        <v>9.4505939099365062</v>
      </c>
      <c r="K20" s="389"/>
      <c r="L20" s="389"/>
      <c r="M20" s="389"/>
      <c r="N20" s="367">
        <f>+J20+K20*'Grafer-klima'!$O$9+'Industrielle processer 2018'!L20*'Grafer-klima'!$P$9+'Industrielle processer 2018'!M20</f>
        <v>9.4505939099365062</v>
      </c>
    </row>
    <row r="21" spans="2:14" x14ac:dyDescent="0.2">
      <c r="B21" s="376"/>
      <c r="C21" s="203"/>
      <c r="D21" s="203"/>
      <c r="E21" s="203"/>
      <c r="F21" s="203"/>
      <c r="G21" s="203"/>
      <c r="H21" s="493"/>
      <c r="I21" s="128" t="s">
        <v>527</v>
      </c>
      <c r="J21" s="496"/>
      <c r="K21" s="203"/>
      <c r="L21" s="203"/>
      <c r="M21" s="203"/>
      <c r="N21" s="229">
        <f>+J21+K21*'Grafer-klima'!$O$9+'Industrielle processer 2018'!L21*'Grafer-klima'!$P$9+'Industrielle processer 2018'!M21</f>
        <v>0</v>
      </c>
    </row>
    <row r="22" spans="2:14" x14ac:dyDescent="0.2">
      <c r="B22" s="376"/>
      <c r="C22" s="203"/>
      <c r="D22" s="203"/>
      <c r="E22" s="203"/>
      <c r="F22" s="203"/>
      <c r="G22" s="203"/>
      <c r="H22" s="493"/>
      <c r="I22" s="128" t="s">
        <v>528</v>
      </c>
      <c r="J22" s="496"/>
      <c r="K22" s="203"/>
      <c r="L22" s="203"/>
      <c r="M22" s="203"/>
      <c r="N22" s="229">
        <f>+J22+K22*'Grafer-klima'!$O$9+'Industrielle processer 2018'!L22*'Grafer-klima'!$P$9+'Industrielle processer 2018'!M22</f>
        <v>0</v>
      </c>
    </row>
    <row r="23" spans="2:14" ht="15" thickBot="1" x14ac:dyDescent="0.25">
      <c r="B23" s="381"/>
      <c r="C23" s="382"/>
      <c r="D23" s="382"/>
      <c r="E23" s="382"/>
      <c r="F23" s="382"/>
      <c r="G23" s="382"/>
      <c r="H23" s="498"/>
      <c r="I23" s="135" t="s">
        <v>529</v>
      </c>
      <c r="J23" s="502"/>
      <c r="K23" s="382"/>
      <c r="L23" s="382"/>
      <c r="M23" s="382"/>
      <c r="N23" s="236">
        <f>+J23+K23*'Grafer-klima'!$O$9+'Industrielle processer 2018'!L23*'Grafer-klima'!$P$9+'Industrielle processer 2018'!M23</f>
        <v>0</v>
      </c>
    </row>
    <row r="24" spans="2:14" ht="15" thickBot="1" x14ac:dyDescent="0.25">
      <c r="B24" s="406"/>
      <c r="C24" s="407"/>
      <c r="D24" s="724">
        <v>4.7810761770336452</v>
      </c>
      <c r="E24" s="407"/>
      <c r="F24" s="407"/>
      <c r="G24" s="407"/>
      <c r="H24" s="408"/>
      <c r="I24" s="600" t="s">
        <v>530</v>
      </c>
      <c r="J24" s="601">
        <f>D24*0.2</f>
        <v>0.95621523540672904</v>
      </c>
      <c r="K24" s="407"/>
      <c r="L24" s="407"/>
      <c r="M24" s="407"/>
      <c r="N24" s="412">
        <f>+J24+K24*'Grafer-klima'!$O$9+'Industrielle processer 2018'!L24*'Grafer-klima'!$P$9+'Industrielle processer 2018'!M24</f>
        <v>0.95621523540672904</v>
      </c>
    </row>
    <row r="25" spans="2:14" x14ac:dyDescent="0.2">
      <c r="B25" s="388"/>
      <c r="C25" s="389"/>
      <c r="D25" s="389"/>
      <c r="E25" s="625">
        <v>408.94138234227785</v>
      </c>
      <c r="F25" s="389"/>
      <c r="G25" s="389"/>
      <c r="H25" s="599"/>
      <c r="I25" s="560" t="s">
        <v>531</v>
      </c>
      <c r="J25" s="561">
        <f>E25*0.62</f>
        <v>253.54365705221227</v>
      </c>
      <c r="K25" s="389"/>
      <c r="L25" s="389"/>
      <c r="M25" s="389"/>
      <c r="N25" s="367">
        <f>+J25+K25*'Grafer-klima'!$O$9+'Industrielle processer 2018'!L25*'Grafer-klima'!$P$9+'Industrielle processer 2018'!M25</f>
        <v>253.54365705221227</v>
      </c>
    </row>
    <row r="26" spans="2:14" x14ac:dyDescent="0.2">
      <c r="B26" s="376"/>
      <c r="C26" s="203"/>
      <c r="D26" s="203"/>
      <c r="E26" s="338">
        <v>161.60037478373724</v>
      </c>
      <c r="F26" s="203"/>
      <c r="G26" s="203"/>
      <c r="H26" s="493"/>
      <c r="I26" s="128" t="s">
        <v>532</v>
      </c>
      <c r="J26" s="496">
        <f>E26*2.89</f>
        <v>467.02508312500066</v>
      </c>
      <c r="K26" s="203">
        <f>E26*0.00012</f>
        <v>1.9392044974048468E-2</v>
      </c>
      <c r="L26" s="203">
        <f>E26*0.000024</f>
        <v>3.8784089948096937E-3</v>
      </c>
      <c r="M26" s="203"/>
      <c r="N26" s="229">
        <f>+J26+K26*'Grafer-klima'!$O$9+'Industrielle processer 2018'!L26*'Grafer-klima'!$P$9+'Industrielle processer 2018'!M26</f>
        <v>468.66565012980521</v>
      </c>
    </row>
    <row r="27" spans="2:14" x14ac:dyDescent="0.2">
      <c r="B27" s="593"/>
      <c r="C27" s="556"/>
      <c r="D27" s="556"/>
      <c r="E27" s="338">
        <v>5813.1511544493078</v>
      </c>
      <c r="F27" s="556"/>
      <c r="G27" s="556"/>
      <c r="H27" s="594"/>
      <c r="I27" s="128" t="s">
        <v>533</v>
      </c>
      <c r="J27" s="555">
        <f>E27*0.08</f>
        <v>465.05209235594464</v>
      </c>
      <c r="K27" s="556"/>
      <c r="L27" s="556"/>
      <c r="M27" s="556"/>
      <c r="N27" s="229">
        <f>+J27+K27*'Grafer-klima'!$O$9+'Industrielle processer 2018'!L27*'Grafer-klima'!$P$9+'Industrielle processer 2018'!M27</f>
        <v>465.05209235594464</v>
      </c>
    </row>
    <row r="28" spans="2:14" x14ac:dyDescent="0.2">
      <c r="B28" s="593"/>
      <c r="C28" s="556"/>
      <c r="D28" s="556"/>
      <c r="E28" s="338">
        <v>32588.771437896732</v>
      </c>
      <c r="F28" s="556"/>
      <c r="G28" s="556"/>
      <c r="H28" s="594"/>
      <c r="I28" s="128" t="s">
        <v>534</v>
      </c>
      <c r="J28" s="555">
        <f>E28*0.00023</f>
        <v>7.4954174307162482</v>
      </c>
      <c r="K28" s="556">
        <f>E28*0.0000044</f>
        <v>0.14339059432674564</v>
      </c>
      <c r="L28" s="556"/>
      <c r="M28" s="556"/>
      <c r="N28" s="229">
        <f>+J28+K28*'Grafer-klima'!$O$9+'Industrielle processer 2018'!L28*'Grafer-klima'!$P$9+'Industrielle processer 2018'!M28</f>
        <v>11.080182288884888</v>
      </c>
    </row>
    <row r="29" spans="2:14" x14ac:dyDescent="0.2">
      <c r="B29" s="593"/>
      <c r="C29" s="556"/>
      <c r="D29" s="556"/>
      <c r="E29" s="338">
        <v>470.13915740830839</v>
      </c>
      <c r="F29" s="556"/>
      <c r="G29" s="556"/>
      <c r="H29" s="594"/>
      <c r="I29" s="128" t="s">
        <v>535</v>
      </c>
      <c r="J29" s="555">
        <f>E29*0.0004</f>
        <v>0.18805566296332338</v>
      </c>
      <c r="K29" s="556"/>
      <c r="L29" s="556"/>
      <c r="M29" s="556"/>
      <c r="N29" s="229">
        <f>+J29+K29*'Grafer-klima'!$O$9+'Industrielle processer 2018'!L29*'Grafer-klima'!$P$9+'Industrielle processer 2018'!M29</f>
        <v>0.18805566296332338</v>
      </c>
    </row>
    <row r="30" spans="2:14" ht="15" thickBot="1" x14ac:dyDescent="0.25">
      <c r="B30" s="381"/>
      <c r="C30" s="382"/>
      <c r="D30" s="382"/>
      <c r="E30" s="338">
        <v>298.73757646165228</v>
      </c>
      <c r="F30" s="382"/>
      <c r="G30" s="382"/>
      <c r="H30" s="498"/>
      <c r="I30" s="135" t="s">
        <v>536</v>
      </c>
      <c r="J30" s="502">
        <f>E30*0.24</f>
        <v>71.69701835079654</v>
      </c>
      <c r="K30" s="382"/>
      <c r="L30" s="382"/>
      <c r="M30" s="382"/>
      <c r="N30" s="236">
        <f>+J30+K30*'Grafer-klima'!$O$9+'Industrielle processer 2018'!L30*'Grafer-klima'!$P$9+'Industrielle processer 2018'!M30</f>
        <v>71.69701835079654</v>
      </c>
    </row>
    <row r="31" spans="2:14" x14ac:dyDescent="0.2">
      <c r="B31" s="388"/>
      <c r="C31" s="389"/>
      <c r="D31" s="389"/>
      <c r="E31" s="389"/>
      <c r="F31" s="602"/>
      <c r="G31" s="389"/>
      <c r="H31" s="599"/>
      <c r="I31" s="560" t="s">
        <v>537</v>
      </c>
      <c r="J31" s="561"/>
      <c r="K31" s="389"/>
      <c r="L31" s="389"/>
      <c r="M31" s="389"/>
      <c r="N31" s="367">
        <f>+J31+K31*'Grafer-klima'!$O$9+'Industrielle processer 2018'!L31*'Grafer-klima'!$P$9+'Industrielle processer 2018'!M31</f>
        <v>0</v>
      </c>
    </row>
    <row r="32" spans="2:14" ht="15" thickBot="1" x14ac:dyDescent="0.25">
      <c r="B32" s="381"/>
      <c r="C32" s="382"/>
      <c r="D32" s="382"/>
      <c r="E32" s="382"/>
      <c r="F32" s="603"/>
      <c r="G32" s="382"/>
      <c r="H32" s="498"/>
      <c r="I32" s="135" t="s">
        <v>538</v>
      </c>
      <c r="J32" s="502"/>
      <c r="K32" s="382"/>
      <c r="L32" s="382"/>
      <c r="M32" s="382"/>
      <c r="N32" s="236">
        <f>+J32+K32*'Grafer-klima'!$O$9+'Industrielle processer 2018'!L32*'Grafer-klima'!$P$9+'Industrielle processer 2018'!M32</f>
        <v>0</v>
      </c>
    </row>
    <row r="33" spans="2:14" x14ac:dyDescent="0.2">
      <c r="B33" s="388"/>
      <c r="C33" s="389"/>
      <c r="D33" s="389"/>
      <c r="E33" s="389"/>
      <c r="F33" s="389"/>
      <c r="G33" s="389" t="s">
        <v>539</v>
      </c>
      <c r="H33" s="599"/>
      <c r="I33" s="560" t="s">
        <v>540</v>
      </c>
      <c r="J33" s="561"/>
      <c r="K33" s="389"/>
      <c r="L33" s="389"/>
      <c r="M33" s="625">
        <v>4553.1782125950413</v>
      </c>
      <c r="N33" s="367">
        <f>+J33+K33*'Grafer-klima'!$O$9+'Industrielle processer 2018'!L33*'Grafer-klima'!$P$9+'Industrielle processer 2018'!M33</f>
        <v>4553.1782125950413</v>
      </c>
    </row>
    <row r="34" spans="2:14" x14ac:dyDescent="0.2">
      <c r="B34" s="376"/>
      <c r="C34" s="203"/>
      <c r="D34" s="203"/>
      <c r="E34" s="203"/>
      <c r="F34" s="203"/>
      <c r="G34" s="203" t="s">
        <v>539</v>
      </c>
      <c r="H34" s="493"/>
      <c r="I34" s="128" t="s">
        <v>541</v>
      </c>
      <c r="J34" s="496"/>
      <c r="K34" s="203"/>
      <c r="L34" s="203"/>
      <c r="M34" s="338">
        <v>6.2153990301437387</v>
      </c>
      <c r="N34" s="229">
        <f>+J34+K34*'Grafer-klima'!$O$9+'Industrielle processer 2018'!L34*'Grafer-klima'!$P$9+'Industrielle processer 2018'!M34</f>
        <v>6.2153990301437387</v>
      </c>
    </row>
    <row r="35" spans="2:14" ht="15" thickBot="1" x14ac:dyDescent="0.25">
      <c r="B35" s="381"/>
      <c r="C35" s="382"/>
      <c r="D35" s="382"/>
      <c r="E35" s="382"/>
      <c r="F35" s="382"/>
      <c r="G35" s="382" t="s">
        <v>539</v>
      </c>
      <c r="H35" s="498"/>
      <c r="I35" s="135" t="s">
        <v>542</v>
      </c>
      <c r="J35" s="502"/>
      <c r="K35" s="382"/>
      <c r="L35" s="382"/>
      <c r="M35" s="629">
        <v>101.75723796786608</v>
      </c>
      <c r="N35" s="236">
        <f>+J35+K35*'Grafer-klima'!$O$9+'Industrielle processer 2018'!L35*'Grafer-klima'!$P$9+'Industrielle processer 2018'!M35</f>
        <v>101.75723796786608</v>
      </c>
    </row>
    <row r="36" spans="2:14" x14ac:dyDescent="0.2">
      <c r="B36" s="388"/>
      <c r="C36" s="389"/>
      <c r="D36" s="389"/>
      <c r="E36" s="389"/>
      <c r="F36" s="389"/>
      <c r="G36" s="389"/>
      <c r="H36" s="725">
        <v>0.31873841180224299</v>
      </c>
      <c r="I36" s="560" t="s">
        <v>543</v>
      </c>
      <c r="J36" s="388"/>
      <c r="K36" s="389"/>
      <c r="L36" s="389">
        <f>H36*1</f>
        <v>0.31873841180224299</v>
      </c>
      <c r="M36" s="389"/>
      <c r="N36" s="367">
        <f>+J36+K36*'Grafer-klima'!$O$9+'Industrielle processer 2018'!L36*'Grafer-klima'!$P$9+'Industrielle processer 2018'!M36</f>
        <v>94.984046717068409</v>
      </c>
    </row>
    <row r="37" spans="2:14" x14ac:dyDescent="0.2">
      <c r="B37" s="376"/>
      <c r="C37" s="203"/>
      <c r="D37" s="203"/>
      <c r="E37" s="203"/>
      <c r="F37" s="203"/>
      <c r="G37" s="203"/>
      <c r="H37" s="718">
        <v>2.7889611032696258</v>
      </c>
      <c r="I37" s="128" t="s">
        <v>544</v>
      </c>
      <c r="J37" s="376"/>
      <c r="K37" s="203"/>
      <c r="L37" s="203">
        <f>H37*0.05</f>
        <v>0.1394480551634813</v>
      </c>
      <c r="M37" s="203"/>
      <c r="N37" s="229">
        <f>+J37+K37*'Grafer-klima'!$O$9+'Industrielle processer 2018'!L37*'Grafer-klima'!$P$9+'Industrielle processer 2018'!M37</f>
        <v>41.55552043871743</v>
      </c>
    </row>
    <row r="38" spans="2:14" x14ac:dyDescent="0.2">
      <c r="B38" s="376"/>
      <c r="C38" s="203"/>
      <c r="D38" s="203"/>
      <c r="E38" s="203"/>
      <c r="F38" s="203"/>
      <c r="G38" s="203"/>
      <c r="H38" s="718">
        <v>49.64350763819936</v>
      </c>
      <c r="I38" s="128" t="s">
        <v>545</v>
      </c>
      <c r="J38" s="492">
        <f>H38*0.04</f>
        <v>1.9857403055279745</v>
      </c>
      <c r="K38" s="208">
        <f>H38*0.000825</f>
        <v>4.0955893801514473E-2</v>
      </c>
      <c r="L38" s="208">
        <f>H38*0.001935</f>
        <v>9.6060187279915762E-2</v>
      </c>
      <c r="M38" s="203"/>
      <c r="N38" s="229">
        <f>+J38+K38*'Grafer-klima'!$O$9+'Industrielle processer 2018'!L38*'Grafer-klima'!$P$9+'Industrielle processer 2018'!M38</f>
        <v>31.635573459980733</v>
      </c>
    </row>
    <row r="39" spans="2:14" x14ac:dyDescent="0.2">
      <c r="B39" s="376"/>
      <c r="C39" s="203"/>
      <c r="D39" s="203"/>
      <c r="E39" s="203"/>
      <c r="F39" s="203"/>
      <c r="G39" s="203"/>
      <c r="H39" s="718">
        <v>49.64350763819936</v>
      </c>
      <c r="I39" s="128" t="s">
        <v>546</v>
      </c>
      <c r="J39" s="376"/>
      <c r="K39" s="203">
        <f>H39*0.003187</f>
        <v>0.15821385884294137</v>
      </c>
      <c r="L39" s="203">
        <f>H39*0.000064</f>
        <v>3.1771844888447589E-3</v>
      </c>
      <c r="M39" s="203"/>
      <c r="N39" s="229">
        <f>+J39+K39*'Grafer-klima'!$O$9+'Industrielle processer 2018'!L39*'Grafer-klima'!$P$9+'Industrielle processer 2018'!M39</f>
        <v>4.9021474487492727</v>
      </c>
    </row>
    <row r="40" spans="2:14" x14ac:dyDescent="0.2">
      <c r="B40" s="376"/>
      <c r="C40" s="203"/>
      <c r="D40" s="203"/>
      <c r="E40" s="203"/>
      <c r="F40" s="203"/>
      <c r="G40" s="203"/>
      <c r="H40" s="718">
        <v>63.7476823604486</v>
      </c>
      <c r="I40" s="128" t="s">
        <v>547</v>
      </c>
      <c r="J40" s="376"/>
      <c r="K40" s="203">
        <f>H40*0.0059</f>
        <v>0.37611132592664676</v>
      </c>
      <c r="L40" s="203">
        <f>H40*0.0000295</f>
        <v>1.8805566296332336E-3</v>
      </c>
      <c r="M40" s="203"/>
      <c r="N40" s="229">
        <f>+J40+K40*'Grafer-klima'!$O$9+'Industrielle processer 2018'!L40*'Grafer-klima'!$P$9+'Industrielle processer 2018'!M40</f>
        <v>9.9631890237968719</v>
      </c>
    </row>
    <row r="41" spans="2:14" ht="15" thickBot="1" x14ac:dyDescent="0.25">
      <c r="B41" s="593"/>
      <c r="C41" s="556"/>
      <c r="D41" s="556"/>
      <c r="E41" s="556"/>
      <c r="F41" s="556"/>
      <c r="G41" s="556"/>
      <c r="H41" s="594"/>
      <c r="I41" s="128" t="s">
        <v>548</v>
      </c>
      <c r="J41" s="593"/>
      <c r="K41" s="556"/>
      <c r="L41" s="556"/>
      <c r="M41" s="556"/>
      <c r="N41" s="229">
        <f>+J41+K41*'Grafer-klima'!$O$9+'Industrielle processer 2018'!L41*'Grafer-klima'!$P$9+'Industrielle processer 2018'!M41</f>
        <v>0</v>
      </c>
    </row>
    <row r="42" spans="2:14" ht="15.75" thickBot="1" x14ac:dyDescent="0.3">
      <c r="B42" s="604">
        <f t="shared" ref="B42:H42" si="0">SUM(B11:B41)</f>
        <v>357.86355185096835</v>
      </c>
      <c r="C42" s="408">
        <f t="shared" si="0"/>
        <v>472.5296954968253</v>
      </c>
      <c r="D42" s="408">
        <f t="shared" si="0"/>
        <v>4.7810761770336452</v>
      </c>
      <c r="E42" s="408">
        <f t="shared" si="0"/>
        <v>39741.341083342013</v>
      </c>
      <c r="F42" s="408">
        <f t="shared" si="0"/>
        <v>0</v>
      </c>
      <c r="G42" s="408">
        <f t="shared" si="0"/>
        <v>0</v>
      </c>
      <c r="H42" s="408">
        <f t="shared" si="0"/>
        <v>166.1423971519192</v>
      </c>
      <c r="I42" s="605" t="s">
        <v>249</v>
      </c>
      <c r="J42" s="407">
        <f>SUM(J11:J41)</f>
        <v>2561.0579296874021</v>
      </c>
      <c r="K42" s="407">
        <f>SUM(K11:K41)</f>
        <v>0.73806371787189673</v>
      </c>
      <c r="L42" s="407">
        <f>SUM(L11:L41)</f>
        <v>0.56318280435892776</v>
      </c>
      <c r="M42" s="407">
        <f>SUM(M11:M41)</f>
        <v>4661.1508495930511</v>
      </c>
      <c r="N42" s="606">
        <f>SUM(N11:N41)</f>
        <v>7408.4888479262117</v>
      </c>
    </row>
    <row r="43" spans="2:14" x14ac:dyDescent="0.2">
      <c r="I43" s="197"/>
    </row>
    <row r="44" spans="2:14" x14ac:dyDescent="0.2">
      <c r="B44" s="607"/>
      <c r="I44" s="197"/>
    </row>
    <row r="45" spans="2:14" x14ac:dyDescent="0.2">
      <c r="I45" s="197"/>
    </row>
    <row r="46" spans="2:14" x14ac:dyDescent="0.2">
      <c r="I46" s="197"/>
    </row>
    <row r="47" spans="2:14" x14ac:dyDescent="0.2">
      <c r="I47" s="197"/>
    </row>
    <row r="48" spans="2:14" x14ac:dyDescent="0.2">
      <c r="I48" s="197"/>
    </row>
    <row r="49" spans="9:9" x14ac:dyDescent="0.2">
      <c r="I49" s="197"/>
    </row>
    <row r="50" spans="9:9" x14ac:dyDescent="0.2">
      <c r="I50" s="197"/>
    </row>
    <row r="51" spans="9:9" x14ac:dyDescent="0.2">
      <c r="I51" s="197"/>
    </row>
    <row r="52" spans="9:9" x14ac:dyDescent="0.2">
      <c r="I52" s="197"/>
    </row>
    <row r="53" spans="9:9" x14ac:dyDescent="0.2">
      <c r="I53" s="197"/>
    </row>
    <row r="54" spans="9:9" x14ac:dyDescent="0.2">
      <c r="I54" s="197"/>
    </row>
    <row r="55" spans="9:9" x14ac:dyDescent="0.2">
      <c r="I55" s="197"/>
    </row>
    <row r="56" spans="9:9" x14ac:dyDescent="0.2">
      <c r="I56" s="197"/>
    </row>
    <row r="57" spans="9:9" x14ac:dyDescent="0.2">
      <c r="I57" s="197"/>
    </row>
    <row r="58" spans="9:9" x14ac:dyDescent="0.2">
      <c r="I58" s="197"/>
    </row>
    <row r="59" spans="9:9" x14ac:dyDescent="0.2">
      <c r="I59" s="197"/>
    </row>
    <row r="60" spans="9:9" x14ac:dyDescent="0.2">
      <c r="I60" s="197"/>
    </row>
    <row r="61" spans="9:9" x14ac:dyDescent="0.2">
      <c r="I61" s="197"/>
    </row>
    <row r="62" spans="9:9" x14ac:dyDescent="0.2">
      <c r="I62" s="197"/>
    </row>
    <row r="63" spans="9:9" x14ac:dyDescent="0.2">
      <c r="I63" s="197"/>
    </row>
    <row r="64" spans="9:9" x14ac:dyDescent="0.2">
      <c r="I64" s="197"/>
    </row>
    <row r="65" spans="9:9" x14ac:dyDescent="0.2">
      <c r="I65" s="197"/>
    </row>
    <row r="66" spans="9:9" x14ac:dyDescent="0.2">
      <c r="I66" s="197"/>
    </row>
    <row r="67" spans="9:9" x14ac:dyDescent="0.2">
      <c r="I67" s="197"/>
    </row>
    <row r="68" spans="9:9" x14ac:dyDescent="0.2">
      <c r="I68" s="197"/>
    </row>
    <row r="69" spans="9:9" x14ac:dyDescent="0.2">
      <c r="I69" s="197"/>
    </row>
    <row r="70" spans="9:9" x14ac:dyDescent="0.2">
      <c r="I70" s="197"/>
    </row>
    <row r="71" spans="9:9" x14ac:dyDescent="0.2">
      <c r="I71" s="197"/>
    </row>
    <row r="72" spans="9:9" x14ac:dyDescent="0.2">
      <c r="I72" s="197"/>
    </row>
    <row r="73" spans="9:9" x14ac:dyDescent="0.2">
      <c r="I73" s="197"/>
    </row>
    <row r="74" spans="9:9" x14ac:dyDescent="0.2">
      <c r="I74" s="197"/>
    </row>
    <row r="75" spans="9:9" x14ac:dyDescent="0.2">
      <c r="I75" s="197"/>
    </row>
    <row r="76" spans="9:9" x14ac:dyDescent="0.2">
      <c r="I76" s="197"/>
    </row>
    <row r="77" spans="9:9" x14ac:dyDescent="0.2">
      <c r="I77" s="197"/>
    </row>
    <row r="78" spans="9:9" x14ac:dyDescent="0.2">
      <c r="I78" s="197"/>
    </row>
    <row r="79" spans="9:9" x14ac:dyDescent="0.2">
      <c r="I79" s="197"/>
    </row>
    <row r="80" spans="9:9" x14ac:dyDescent="0.2">
      <c r="I80" s="197"/>
    </row>
    <row r="81" spans="9:9" x14ac:dyDescent="0.2">
      <c r="I81" s="197"/>
    </row>
    <row r="82" spans="9:9" x14ac:dyDescent="0.2">
      <c r="I82" s="197"/>
    </row>
    <row r="83" spans="9:9" x14ac:dyDescent="0.2">
      <c r="I83" s="197"/>
    </row>
    <row r="84" spans="9:9" x14ac:dyDescent="0.2">
      <c r="I84" s="197"/>
    </row>
    <row r="85" spans="9:9" x14ac:dyDescent="0.2">
      <c r="I85" s="197"/>
    </row>
    <row r="86" spans="9:9" x14ac:dyDescent="0.2">
      <c r="I86" s="197"/>
    </row>
    <row r="87" spans="9:9" x14ac:dyDescent="0.2">
      <c r="I87" s="197"/>
    </row>
    <row r="88" spans="9:9" x14ac:dyDescent="0.2">
      <c r="I88" s="197"/>
    </row>
    <row r="89" spans="9:9" x14ac:dyDescent="0.2">
      <c r="I89" s="197"/>
    </row>
    <row r="90" spans="9:9" x14ac:dyDescent="0.2">
      <c r="I90" s="197"/>
    </row>
    <row r="91" spans="9:9" x14ac:dyDescent="0.2">
      <c r="I91" s="197"/>
    </row>
    <row r="92" spans="9:9" x14ac:dyDescent="0.2">
      <c r="I92" s="197"/>
    </row>
    <row r="93" spans="9:9" x14ac:dyDescent="0.2">
      <c r="I93" s="197"/>
    </row>
    <row r="94" spans="9:9" x14ac:dyDescent="0.2">
      <c r="I94" s="197"/>
    </row>
    <row r="95" spans="9:9" x14ac:dyDescent="0.2">
      <c r="I95" s="197"/>
    </row>
    <row r="96" spans="9:9" x14ac:dyDescent="0.2">
      <c r="I96" s="197"/>
    </row>
    <row r="97" spans="9:9" x14ac:dyDescent="0.2">
      <c r="I97" s="197"/>
    </row>
    <row r="98" spans="9:9" x14ac:dyDescent="0.2">
      <c r="I98" s="197"/>
    </row>
    <row r="99" spans="9:9" x14ac:dyDescent="0.2">
      <c r="I99" s="197"/>
    </row>
    <row r="100" spans="9:9" x14ac:dyDescent="0.2">
      <c r="I100" s="197"/>
    </row>
    <row r="101" spans="9:9" x14ac:dyDescent="0.2">
      <c r="I101" s="197"/>
    </row>
    <row r="102" spans="9:9" x14ac:dyDescent="0.2">
      <c r="I102" s="197"/>
    </row>
    <row r="103" spans="9:9" x14ac:dyDescent="0.2">
      <c r="I103" s="197"/>
    </row>
    <row r="104" spans="9:9" x14ac:dyDescent="0.2">
      <c r="I104" s="197"/>
    </row>
    <row r="105" spans="9:9" x14ac:dyDescent="0.2">
      <c r="I105" s="197"/>
    </row>
    <row r="106" spans="9:9" x14ac:dyDescent="0.2">
      <c r="I106" s="197"/>
    </row>
    <row r="107" spans="9:9" x14ac:dyDescent="0.2">
      <c r="I107" s="197"/>
    </row>
    <row r="108" spans="9:9" x14ac:dyDescent="0.2">
      <c r="I108" s="197"/>
    </row>
    <row r="109" spans="9:9" x14ac:dyDescent="0.2">
      <c r="I109" s="197"/>
    </row>
    <row r="110" spans="9:9" x14ac:dyDescent="0.2">
      <c r="I110" s="197"/>
    </row>
    <row r="111" spans="9:9" x14ac:dyDescent="0.2">
      <c r="I111" s="197"/>
    </row>
    <row r="112" spans="9:9" x14ac:dyDescent="0.2">
      <c r="I112" s="197"/>
    </row>
    <row r="113" spans="9:9" x14ac:dyDescent="0.2">
      <c r="I113" s="197"/>
    </row>
    <row r="114" spans="9:9" x14ac:dyDescent="0.2">
      <c r="I114" s="197"/>
    </row>
    <row r="115" spans="9:9" x14ac:dyDescent="0.2">
      <c r="I115" s="197"/>
    </row>
    <row r="116" spans="9:9" x14ac:dyDescent="0.2">
      <c r="I116" s="197"/>
    </row>
    <row r="117" spans="9:9" x14ac:dyDescent="0.2">
      <c r="I117" s="197"/>
    </row>
    <row r="118" spans="9:9" x14ac:dyDescent="0.2">
      <c r="I118" s="197"/>
    </row>
    <row r="119" spans="9:9" x14ac:dyDescent="0.2">
      <c r="I119" s="197"/>
    </row>
    <row r="120" spans="9:9" x14ac:dyDescent="0.2">
      <c r="I120" s="197"/>
    </row>
    <row r="121" spans="9:9" x14ac:dyDescent="0.2">
      <c r="I121" s="197"/>
    </row>
    <row r="122" spans="9:9" x14ac:dyDescent="0.2">
      <c r="I122" s="197"/>
    </row>
    <row r="123" spans="9:9" x14ac:dyDescent="0.2">
      <c r="I123" s="197"/>
    </row>
    <row r="124" spans="9:9" x14ac:dyDescent="0.2">
      <c r="I124" s="197"/>
    </row>
    <row r="125" spans="9:9" x14ac:dyDescent="0.2">
      <c r="I125" s="197"/>
    </row>
    <row r="126" spans="9:9" x14ac:dyDescent="0.2">
      <c r="I126" s="197"/>
    </row>
    <row r="127" spans="9:9" x14ac:dyDescent="0.2">
      <c r="I127" s="197"/>
    </row>
    <row r="128" spans="9:9" x14ac:dyDescent="0.2">
      <c r="I128" s="197"/>
    </row>
    <row r="129" spans="9:9" x14ac:dyDescent="0.2">
      <c r="I129" s="197"/>
    </row>
    <row r="130" spans="9:9" x14ac:dyDescent="0.2">
      <c r="I130" s="197"/>
    </row>
    <row r="131" spans="9:9" x14ac:dyDescent="0.2">
      <c r="I131" s="197"/>
    </row>
    <row r="132" spans="9:9" x14ac:dyDescent="0.2">
      <c r="I132" s="197"/>
    </row>
    <row r="133" spans="9:9" x14ac:dyDescent="0.2">
      <c r="I133" s="197"/>
    </row>
    <row r="134" spans="9:9" x14ac:dyDescent="0.2">
      <c r="I134" s="197"/>
    </row>
    <row r="135" spans="9:9" x14ac:dyDescent="0.2">
      <c r="I135" s="197"/>
    </row>
    <row r="136" spans="9:9" x14ac:dyDescent="0.2">
      <c r="I136" s="197"/>
    </row>
    <row r="137" spans="9:9" x14ac:dyDescent="0.2">
      <c r="I137" s="197"/>
    </row>
    <row r="138" spans="9:9" x14ac:dyDescent="0.2">
      <c r="I138" s="197"/>
    </row>
    <row r="139" spans="9:9" x14ac:dyDescent="0.2">
      <c r="I139" s="197"/>
    </row>
    <row r="140" spans="9:9" x14ac:dyDescent="0.2">
      <c r="I140" s="197"/>
    </row>
    <row r="141" spans="9:9" x14ac:dyDescent="0.2">
      <c r="I141" s="197"/>
    </row>
    <row r="142" spans="9:9" x14ac:dyDescent="0.2">
      <c r="I142" s="197"/>
    </row>
    <row r="143" spans="9:9" x14ac:dyDescent="0.2">
      <c r="I143" s="197"/>
    </row>
    <row r="144" spans="9:9" x14ac:dyDescent="0.2">
      <c r="I144" s="197"/>
    </row>
    <row r="145" spans="9:9" x14ac:dyDescent="0.2">
      <c r="I145" s="197"/>
    </row>
    <row r="146" spans="9:9" x14ac:dyDescent="0.2">
      <c r="I146" s="197"/>
    </row>
    <row r="147" spans="9:9" x14ac:dyDescent="0.2">
      <c r="I147" s="197"/>
    </row>
    <row r="148" spans="9:9" x14ac:dyDescent="0.2">
      <c r="I148" s="197"/>
    </row>
    <row r="149" spans="9:9" x14ac:dyDescent="0.2">
      <c r="I149" s="197"/>
    </row>
    <row r="150" spans="9:9" x14ac:dyDescent="0.2">
      <c r="I150" s="197"/>
    </row>
    <row r="151" spans="9:9" x14ac:dyDescent="0.2">
      <c r="I151" s="197"/>
    </row>
    <row r="152" spans="9:9" x14ac:dyDescent="0.2">
      <c r="I152" s="197"/>
    </row>
    <row r="153" spans="9:9" x14ac:dyDescent="0.2">
      <c r="I153" s="197"/>
    </row>
    <row r="154" spans="9:9" x14ac:dyDescent="0.2">
      <c r="I154" s="197"/>
    </row>
    <row r="155" spans="9:9" x14ac:dyDescent="0.2">
      <c r="I155" s="197"/>
    </row>
    <row r="156" spans="9:9" x14ac:dyDescent="0.2">
      <c r="I156" s="197"/>
    </row>
    <row r="157" spans="9:9" x14ac:dyDescent="0.2">
      <c r="I157" s="197"/>
    </row>
    <row r="158" spans="9:9" x14ac:dyDescent="0.2">
      <c r="I158" s="197"/>
    </row>
    <row r="159" spans="9:9" x14ac:dyDescent="0.2">
      <c r="I159" s="197"/>
    </row>
    <row r="160" spans="9:9" x14ac:dyDescent="0.2">
      <c r="I160" s="197"/>
    </row>
    <row r="161" spans="9:9" x14ac:dyDescent="0.2">
      <c r="I161" s="197"/>
    </row>
    <row r="162" spans="9:9" x14ac:dyDescent="0.2">
      <c r="I162" s="197"/>
    </row>
    <row r="163" spans="9:9" x14ac:dyDescent="0.2">
      <c r="I163" s="197"/>
    </row>
    <row r="164" spans="9:9" x14ac:dyDescent="0.2">
      <c r="I164" s="197"/>
    </row>
    <row r="165" spans="9:9" x14ac:dyDescent="0.2">
      <c r="I165" s="197"/>
    </row>
    <row r="166" spans="9:9" x14ac:dyDescent="0.2">
      <c r="I166" s="197"/>
    </row>
    <row r="167" spans="9:9" x14ac:dyDescent="0.2">
      <c r="I167" s="197"/>
    </row>
    <row r="168" spans="9:9" x14ac:dyDescent="0.2">
      <c r="I168" s="197"/>
    </row>
    <row r="169" spans="9:9" x14ac:dyDescent="0.2">
      <c r="I169" s="197"/>
    </row>
    <row r="170" spans="9:9" x14ac:dyDescent="0.2">
      <c r="I170" s="197"/>
    </row>
    <row r="171" spans="9:9" x14ac:dyDescent="0.2">
      <c r="I171" s="197"/>
    </row>
    <row r="172" spans="9:9" x14ac:dyDescent="0.2">
      <c r="I172" s="197"/>
    </row>
    <row r="173" spans="9:9" x14ac:dyDescent="0.2">
      <c r="I173" s="197"/>
    </row>
    <row r="174" spans="9:9" x14ac:dyDescent="0.2">
      <c r="I174" s="197"/>
    </row>
    <row r="175" spans="9:9" x14ac:dyDescent="0.2">
      <c r="I175" s="197"/>
    </row>
    <row r="176" spans="9:9" x14ac:dyDescent="0.2">
      <c r="I176" s="197"/>
    </row>
    <row r="177" spans="9:9" x14ac:dyDescent="0.2">
      <c r="I177" s="197"/>
    </row>
    <row r="178" spans="9:9" x14ac:dyDescent="0.2">
      <c r="I178" s="197"/>
    </row>
    <row r="179" spans="9:9" x14ac:dyDescent="0.2">
      <c r="I179" s="197"/>
    </row>
    <row r="180" spans="9:9" x14ac:dyDescent="0.2">
      <c r="I180" s="197"/>
    </row>
    <row r="181" spans="9:9" x14ac:dyDescent="0.2">
      <c r="I181" s="197"/>
    </row>
    <row r="182" spans="9:9" x14ac:dyDescent="0.2">
      <c r="I182" s="197"/>
    </row>
    <row r="183" spans="9:9" x14ac:dyDescent="0.2">
      <c r="I183" s="197"/>
    </row>
    <row r="184" spans="9:9" x14ac:dyDescent="0.2">
      <c r="I184" s="197"/>
    </row>
    <row r="185" spans="9:9" x14ac:dyDescent="0.2">
      <c r="I185" s="197"/>
    </row>
    <row r="186" spans="9:9" x14ac:dyDescent="0.2">
      <c r="I186" s="197"/>
    </row>
    <row r="187" spans="9:9" x14ac:dyDescent="0.2">
      <c r="I187" s="197"/>
    </row>
    <row r="188" spans="9:9" x14ac:dyDescent="0.2">
      <c r="I188" s="197"/>
    </row>
    <row r="189" spans="9:9" x14ac:dyDescent="0.2">
      <c r="I189" s="197"/>
    </row>
    <row r="190" spans="9:9" x14ac:dyDescent="0.2">
      <c r="I190" s="197"/>
    </row>
    <row r="191" spans="9:9" x14ac:dyDescent="0.2">
      <c r="I191" s="197"/>
    </row>
    <row r="192" spans="9:9" x14ac:dyDescent="0.2">
      <c r="I192" s="197"/>
    </row>
    <row r="193" spans="1:14" x14ac:dyDescent="0.2">
      <c r="I193" s="197"/>
    </row>
    <row r="194" spans="1:14" x14ac:dyDescent="0.2">
      <c r="I194" s="197"/>
    </row>
    <row r="195" spans="1:14" x14ac:dyDescent="0.2">
      <c r="I195" s="197"/>
    </row>
    <row r="196" spans="1:14" x14ac:dyDescent="0.2">
      <c r="I196" s="197"/>
    </row>
    <row r="197" spans="1:14" x14ac:dyDescent="0.2">
      <c r="I197" s="197"/>
    </row>
    <row r="198" spans="1:14" x14ac:dyDescent="0.2">
      <c r="I198" s="197"/>
    </row>
    <row r="199" spans="1:14" x14ac:dyDescent="0.2">
      <c r="I199" s="197"/>
    </row>
    <row r="200" spans="1:14" x14ac:dyDescent="0.2">
      <c r="I200" s="197"/>
    </row>
    <row r="201" spans="1:14" ht="15" thickBot="1" x14ac:dyDescent="0.25">
      <c r="I201" s="197"/>
    </row>
    <row r="202" spans="1:14" ht="15" thickBot="1" x14ac:dyDescent="0.25">
      <c r="A202" s="765" t="s">
        <v>408</v>
      </c>
      <c r="B202" s="768" t="s">
        <v>409</v>
      </c>
      <c r="C202" s="769"/>
      <c r="D202" s="769"/>
      <c r="E202" s="769"/>
      <c r="F202" s="769"/>
      <c r="G202" s="769"/>
      <c r="H202" s="769"/>
      <c r="I202" s="769"/>
      <c r="J202" s="769"/>
      <c r="K202" s="769"/>
      <c r="L202" s="769"/>
      <c r="M202" s="769"/>
      <c r="N202" s="770"/>
    </row>
    <row r="203" spans="1:14" ht="15" thickBot="1" x14ac:dyDescent="0.25">
      <c r="A203" s="766"/>
      <c r="B203" s="414"/>
      <c r="C203" s="415"/>
      <c r="D203" s="416"/>
      <c r="E203" s="415"/>
      <c r="F203" s="415"/>
      <c r="G203" s="415"/>
      <c r="H203" s="415"/>
      <c r="I203" s="419" t="s">
        <v>410</v>
      </c>
      <c r="J203" s="38"/>
      <c r="K203" s="39"/>
      <c r="L203" s="420"/>
      <c r="M203" s="421"/>
      <c r="N203" s="422"/>
    </row>
    <row r="204" spans="1:14" x14ac:dyDescent="0.2">
      <c r="A204" s="766"/>
      <c r="B204" s="423"/>
      <c r="C204" s="424"/>
      <c r="D204" s="425"/>
      <c r="E204" s="424"/>
      <c r="F204" s="424"/>
      <c r="G204" s="424"/>
      <c r="H204" s="424"/>
      <c r="I204" s="428" t="s">
        <v>411</v>
      </c>
      <c r="J204" s="429"/>
      <c r="K204" s="430"/>
      <c r="L204" s="431"/>
      <c r="M204" s="432"/>
      <c r="N204" s="433"/>
    </row>
    <row r="205" spans="1:14" x14ac:dyDescent="0.2">
      <c r="A205" s="766"/>
      <c r="B205" s="434"/>
      <c r="C205" s="435"/>
      <c r="D205" s="436"/>
      <c r="E205" s="435"/>
      <c r="F205" s="435"/>
      <c r="G205" s="435"/>
      <c r="H205" s="435"/>
      <c r="I205" s="439" t="s">
        <v>412</v>
      </c>
      <c r="J205" s="19"/>
      <c r="K205" s="20"/>
      <c r="L205" s="440"/>
      <c r="M205" s="441"/>
      <c r="N205" s="422"/>
    </row>
    <row r="206" spans="1:14" ht="15" thickBot="1" x14ac:dyDescent="0.25">
      <c r="A206" s="766"/>
      <c r="B206" s="442"/>
      <c r="C206" s="443"/>
      <c r="D206" s="444"/>
      <c r="E206" s="443"/>
      <c r="F206" s="443"/>
      <c r="G206" s="443"/>
      <c r="H206" s="443"/>
      <c r="I206" s="447" t="s">
        <v>413</v>
      </c>
      <c r="J206" s="43"/>
      <c r="K206" s="44"/>
      <c r="L206" s="448"/>
      <c r="M206" s="449"/>
      <c r="N206" s="450"/>
    </row>
    <row r="207" spans="1:14" ht="15" thickBot="1" x14ac:dyDescent="0.25">
      <c r="A207" s="767"/>
      <c r="B207" s="451"/>
      <c r="C207" s="452"/>
      <c r="D207" s="453"/>
      <c r="E207" s="452"/>
      <c r="F207" s="452"/>
      <c r="G207" s="452"/>
      <c r="H207" s="452"/>
      <c r="I207" s="456" t="s">
        <v>414</v>
      </c>
      <c r="J207" s="457"/>
      <c r="K207" s="458"/>
      <c r="L207" s="459"/>
      <c r="M207" s="460"/>
      <c r="N207" s="461"/>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48970-882E-4E3B-87C5-9A2DA750A99E}">
  <sheetPr codeName="Ark16">
    <tabColor rgb="FF92D050"/>
  </sheetPr>
  <dimension ref="A1:O191"/>
  <sheetViews>
    <sheetView showGridLines="0" workbookViewId="0">
      <selection activeCell="N10" sqref="N10"/>
    </sheetView>
  </sheetViews>
  <sheetFormatPr defaultColWidth="9.140625" defaultRowHeight="14.25" x14ac:dyDescent="0.2"/>
  <cols>
    <col min="1" max="1" width="23.28515625" style="197" customWidth="1"/>
    <col min="2" max="2" width="8.5703125" style="197" customWidth="1"/>
    <col min="3" max="3" width="9.140625" style="197"/>
    <col min="4" max="4" width="18" style="197" bestFit="1" customWidth="1"/>
    <col min="5" max="5" width="9.140625" style="197"/>
    <col min="6" max="6" width="17.85546875" style="197" bestFit="1" customWidth="1"/>
    <col min="7" max="7" width="64.5703125" style="201" customWidth="1"/>
    <col min="8" max="8" width="9.42578125" style="197" customWidth="1"/>
    <col min="9" max="9" width="17.42578125" style="197" bestFit="1" customWidth="1"/>
    <col min="10" max="16384" width="9.140625" style="197"/>
  </cols>
  <sheetData>
    <row r="1" spans="1:15" x14ac:dyDescent="0.2">
      <c r="G1" s="197"/>
    </row>
    <row r="2" spans="1:15" x14ac:dyDescent="0.2">
      <c r="A2" s="790" t="s">
        <v>363</v>
      </c>
      <c r="B2" s="791"/>
      <c r="C2" s="792"/>
      <c r="D2" s="133">
        <v>2018</v>
      </c>
      <c r="E2" s="10"/>
      <c r="F2" s="10"/>
    </row>
    <row r="3" spans="1:15" x14ac:dyDescent="0.2">
      <c r="A3" s="133" t="s">
        <v>510</v>
      </c>
      <c r="B3" s="133" t="s">
        <v>549</v>
      </c>
      <c r="C3" s="133" t="s">
        <v>550</v>
      </c>
      <c r="D3" s="608"/>
      <c r="E3" s="346"/>
      <c r="F3" s="346"/>
      <c r="G3" s="582" t="s">
        <v>551</v>
      </c>
    </row>
    <row r="4" spans="1:15" ht="27.75" x14ac:dyDescent="0.2">
      <c r="E4" s="10"/>
      <c r="F4" s="10"/>
      <c r="G4" s="347" t="s">
        <v>552</v>
      </c>
    </row>
    <row r="5" spans="1:15" x14ac:dyDescent="0.2">
      <c r="D5" s="10"/>
      <c r="E5" s="10"/>
      <c r="F5" s="10"/>
      <c r="G5" s="668" t="str">
        <f>'[1]Affald og spildevand, 2018'!G5</f>
        <v>Skive Kommune</v>
      </c>
    </row>
    <row r="6" spans="1:15" x14ac:dyDescent="0.2">
      <c r="D6" s="10"/>
      <c r="E6" s="10"/>
      <c r="F6" s="10"/>
      <c r="G6" s="197"/>
    </row>
    <row r="7" spans="1:15" x14ac:dyDescent="0.2">
      <c r="G7" s="197"/>
    </row>
    <row r="8" spans="1:15" ht="15.75" customHeight="1" x14ac:dyDescent="0.2">
      <c r="G8" s="197"/>
    </row>
    <row r="9" spans="1:15" ht="30.75" customHeight="1" thickBot="1" x14ac:dyDescent="0.25">
      <c r="B9" s="609" t="s">
        <v>553</v>
      </c>
      <c r="C9" s="793" t="s">
        <v>554</v>
      </c>
      <c r="D9" s="794"/>
      <c r="E9" s="794"/>
      <c r="F9" s="795"/>
      <c r="G9" s="610" t="s">
        <v>372</v>
      </c>
      <c r="H9" s="796" t="s">
        <v>554</v>
      </c>
      <c r="I9" s="797"/>
      <c r="J9" s="797"/>
      <c r="K9" s="798"/>
    </row>
    <row r="10" spans="1:15" ht="100.5" customHeight="1" thickBot="1" x14ac:dyDescent="0.25">
      <c r="B10" s="354" t="s">
        <v>346</v>
      </c>
      <c r="C10" s="611" t="s">
        <v>555</v>
      </c>
      <c r="D10" s="352" t="s">
        <v>340</v>
      </c>
      <c r="E10" s="352" t="s">
        <v>341</v>
      </c>
      <c r="F10" s="353" t="s">
        <v>342</v>
      </c>
      <c r="G10" s="583"/>
      <c r="H10" s="612" t="s">
        <v>392</v>
      </c>
      <c r="I10" s="352" t="s">
        <v>514</v>
      </c>
      <c r="J10" s="352" t="s">
        <v>515</v>
      </c>
      <c r="K10" s="358" t="s">
        <v>396</v>
      </c>
    </row>
    <row r="11" spans="1:15" ht="14.45" customHeight="1" x14ac:dyDescent="0.2">
      <c r="A11" s="779"/>
      <c r="B11" s="613"/>
      <c r="C11" s="614"/>
      <c r="D11" s="614"/>
      <c r="E11" s="614"/>
      <c r="F11" s="614"/>
      <c r="G11" s="615" t="s">
        <v>556</v>
      </c>
      <c r="H11" s="614"/>
      <c r="I11" s="614"/>
      <c r="J11" s="614"/>
      <c r="K11" s="616"/>
    </row>
    <row r="12" spans="1:15" x14ac:dyDescent="0.2">
      <c r="A12" s="779"/>
      <c r="B12" s="494"/>
      <c r="C12" s="617"/>
      <c r="D12" s="588"/>
      <c r="E12" s="588"/>
      <c r="F12" s="726">
        <v>5617.7179622100884</v>
      </c>
      <c r="G12" s="128" t="s">
        <v>557</v>
      </c>
      <c r="H12" s="592"/>
      <c r="I12" s="371">
        <f>F12*0.0320328274979</f>
        <v>179.95139041533008</v>
      </c>
      <c r="J12" s="590"/>
      <c r="K12" s="229">
        <f>+H12+I12*'Grafer-klima'!$O$9+'Affald og spildevand 2018'!J12*'Grafer-klima'!$P$9</f>
        <v>4498.7847603832524</v>
      </c>
    </row>
    <row r="13" spans="1:15" ht="15" x14ac:dyDescent="0.2">
      <c r="A13" s="779"/>
      <c r="B13" s="373"/>
      <c r="C13" s="617"/>
      <c r="D13" s="588"/>
      <c r="E13" s="588"/>
      <c r="F13" s="726">
        <v>4.5578953976234828</v>
      </c>
      <c r="G13" s="128" t="s">
        <v>558</v>
      </c>
      <c r="H13" s="592"/>
      <c r="I13" s="371">
        <f>F13*0.02456199746439</f>
        <v>0.11195101519938284</v>
      </c>
      <c r="J13" s="590"/>
      <c r="K13" s="229">
        <f>+H13+I13*'Grafer-klima'!$O$9+'Affald og spildevand 2018'!J13*'Grafer-klima'!$P$9</f>
        <v>2.7987753799845709</v>
      </c>
      <c r="N13" s="618"/>
      <c r="O13" s="618"/>
    </row>
    <row r="14" spans="1:15" ht="15" x14ac:dyDescent="0.2">
      <c r="A14" s="779"/>
      <c r="B14" s="373"/>
      <c r="C14" s="617"/>
      <c r="D14" s="588"/>
      <c r="E14" s="588"/>
      <c r="F14" s="589" t="s">
        <v>282</v>
      </c>
      <c r="G14" s="128" t="s">
        <v>559</v>
      </c>
      <c r="H14" s="592"/>
      <c r="I14" s="590"/>
      <c r="J14" s="590"/>
      <c r="K14" s="229">
        <f>+H14+I14*'Grafer-klima'!$O$9+'Affald og spildevand 2018'!J14*'Grafer-klima'!$P$9</f>
        <v>0</v>
      </c>
      <c r="N14" s="618"/>
      <c r="O14" s="618"/>
    </row>
    <row r="15" spans="1:15" ht="16.5" x14ac:dyDescent="0.2">
      <c r="A15" s="779"/>
      <c r="B15" s="373"/>
      <c r="C15" s="617"/>
      <c r="D15" s="588"/>
      <c r="E15" s="588" t="s">
        <v>560</v>
      </c>
      <c r="F15" s="589"/>
      <c r="G15" s="128" t="s">
        <v>561</v>
      </c>
      <c r="H15" s="592"/>
      <c r="I15" s="727">
        <v>34.04201460691818</v>
      </c>
      <c r="J15" s="727">
        <v>2.2326120748044205</v>
      </c>
      <c r="K15" s="229">
        <f>+H15+I15*'Grafer-klima'!$O$9+'Affald og spildevand 2018'!J15*'Grafer-klima'!$P$9</f>
        <v>1516.3687634646717</v>
      </c>
      <c r="N15" s="618"/>
      <c r="O15" s="618"/>
    </row>
    <row r="16" spans="1:15" ht="16.5" x14ac:dyDescent="0.2">
      <c r="B16" s="494"/>
      <c r="C16" s="496"/>
      <c r="D16" s="203"/>
      <c r="E16" s="203" t="s">
        <v>562</v>
      </c>
      <c r="F16" s="493"/>
      <c r="G16" s="128" t="s">
        <v>563</v>
      </c>
      <c r="H16" s="496"/>
      <c r="I16" s="727">
        <v>80.348062482873544</v>
      </c>
      <c r="J16" s="203"/>
      <c r="K16" s="229">
        <f>+H16+I16*'Grafer-klima'!$O$9+'Affald og spildevand 2018'!J16*'Grafer-klima'!$P$9</f>
        <v>2008.7015620718387</v>
      </c>
    </row>
    <row r="17" spans="2:11" x14ac:dyDescent="0.2">
      <c r="B17" s="494"/>
      <c r="C17" s="496"/>
      <c r="D17" s="338">
        <v>38.131101292795343</v>
      </c>
      <c r="E17" s="203"/>
      <c r="F17" s="493"/>
      <c r="G17" s="128" t="s">
        <v>564</v>
      </c>
      <c r="H17" s="570">
        <f>D17*293.592485784684/1000</f>
        <v>11.195004814259363</v>
      </c>
      <c r="I17" s="208">
        <f>D17*0.3961232910573/1000</f>
        <v>1.5104617335741357E-2</v>
      </c>
      <c r="J17" s="208">
        <f>D17*0.22934092581936/1000</f>
        <v>8.7450220730014797E-3</v>
      </c>
      <c r="K17" s="229">
        <f>+H17+I17*'Grafer-klima'!$O$9+'Affald og spildevand 2018'!J17*'Grafer-klima'!$P$9</f>
        <v>14.178636825407338</v>
      </c>
    </row>
    <row r="18" spans="2:11" x14ac:dyDescent="0.2">
      <c r="B18" s="494"/>
      <c r="C18" s="496"/>
      <c r="D18" s="338">
        <v>92.571520343342044</v>
      </c>
      <c r="E18" s="203"/>
      <c r="F18" s="493"/>
      <c r="G18" s="128" t="s">
        <v>565</v>
      </c>
      <c r="H18" s="570">
        <f>D18*153.956804169563/1000</f>
        <v>14.252015429178627</v>
      </c>
      <c r="I18" s="208">
        <f>D18*6.50000000000025/1000</f>
        <v>0.60171488223174641</v>
      </c>
      <c r="J18" s="208">
        <f>D18*0.1500000000002/1000</f>
        <v>1.3885728051519821E-2</v>
      </c>
      <c r="K18" s="229">
        <f>+H18+I18*'Grafer-klima'!$O$9+'Affald og spildevand 2018'!J18*'Grafer-klima'!$P$9</f>
        <v>33.432834444325195</v>
      </c>
    </row>
    <row r="19" spans="2:11" ht="14.45" customHeight="1" x14ac:dyDescent="0.2">
      <c r="B19" s="619"/>
      <c r="C19" s="620"/>
      <c r="D19" s="620"/>
      <c r="E19" s="620"/>
      <c r="F19" s="620"/>
      <c r="G19" s="621" t="s">
        <v>566</v>
      </c>
      <c r="H19" s="620"/>
      <c r="I19" s="620"/>
      <c r="J19" s="620"/>
      <c r="K19" s="622"/>
    </row>
    <row r="20" spans="2:11" ht="16.5" x14ac:dyDescent="0.2">
      <c r="B20" s="494"/>
      <c r="C20" s="496" t="s">
        <v>562</v>
      </c>
      <c r="D20" s="203"/>
      <c r="E20" s="203"/>
      <c r="F20" s="493"/>
      <c r="G20" s="128" t="s">
        <v>567</v>
      </c>
      <c r="H20" s="496"/>
      <c r="I20" s="338">
        <v>16.177888620896482</v>
      </c>
      <c r="J20" s="338">
        <v>1.6024174191931517</v>
      </c>
      <c r="K20" s="229">
        <f>+H20+I20*'Grafer-klima'!$O$9+'Affald og spildevand 2018'!J20*'Grafer-klima'!$P$9</f>
        <v>881.96760644197127</v>
      </c>
    </row>
    <row r="21" spans="2:11" ht="16.5" x14ac:dyDescent="0.2">
      <c r="B21" s="494"/>
      <c r="C21" s="496" t="s">
        <v>562</v>
      </c>
      <c r="D21" s="203"/>
      <c r="E21" s="203"/>
      <c r="F21" s="493"/>
      <c r="G21" s="128" t="s">
        <v>568</v>
      </c>
      <c r="H21" s="496"/>
      <c r="I21" s="208"/>
      <c r="J21" s="338">
        <v>0.27746895109646957</v>
      </c>
      <c r="K21" s="229">
        <f>+H21+I21*'Grafer-klima'!$O$9+'Affald og spildevand 2018'!J21*'Grafer-klima'!$P$9</f>
        <v>82.685747426747938</v>
      </c>
    </row>
    <row r="22" spans="2:11" ht="16.5" x14ac:dyDescent="0.2">
      <c r="B22" s="494"/>
      <c r="C22" s="496" t="s">
        <v>562</v>
      </c>
      <c r="D22" s="203"/>
      <c r="E22" s="203"/>
      <c r="F22" s="493"/>
      <c r="G22" s="128" t="s">
        <v>569</v>
      </c>
      <c r="H22" s="496"/>
      <c r="I22" s="203"/>
      <c r="J22" s="203"/>
      <c r="K22" s="229">
        <f>+H22+I22*'Grafer-klima'!$O$9+'Affald og spildevand 2018'!J22*'Grafer-klima'!$P$9</f>
        <v>0</v>
      </c>
    </row>
    <row r="23" spans="2:11" ht="14.45" customHeight="1" x14ac:dyDescent="0.2">
      <c r="B23" s="619"/>
      <c r="C23" s="620"/>
      <c r="D23" s="620"/>
      <c r="E23" s="620"/>
      <c r="F23" s="620"/>
      <c r="G23" s="621" t="s">
        <v>570</v>
      </c>
      <c r="H23" s="620"/>
      <c r="I23" s="620"/>
      <c r="J23" s="620"/>
      <c r="K23" s="622"/>
    </row>
    <row r="24" spans="2:11" x14ac:dyDescent="0.2">
      <c r="B24" s="713">
        <v>69</v>
      </c>
      <c r="C24" s="496"/>
      <c r="D24" s="203"/>
      <c r="E24" s="203"/>
      <c r="F24" s="493"/>
      <c r="G24" s="128" t="s">
        <v>571</v>
      </c>
      <c r="H24" s="716">
        <v>94.027831481661693</v>
      </c>
      <c r="I24" s="338">
        <v>0.55221429844738601</v>
      </c>
      <c r="J24" s="203"/>
      <c r="K24" s="229">
        <f>+H24+I24*'Grafer-klima'!$O$9+'Affald og spildevand 2018'!J24*'Grafer-klima'!$P$9</f>
        <v>107.83318894284635</v>
      </c>
    </row>
    <row r="25" spans="2:11" ht="15" thickBot="1" x14ac:dyDescent="0.25">
      <c r="B25" s="728">
        <v>30</v>
      </c>
      <c r="C25" s="555"/>
      <c r="D25" s="556"/>
      <c r="E25" s="556"/>
      <c r="F25" s="594"/>
      <c r="G25" s="134" t="s">
        <v>572</v>
      </c>
      <c r="H25" s="729">
        <v>49.404453829347673</v>
      </c>
      <c r="I25" s="730">
        <v>0.10358998383572898</v>
      </c>
      <c r="J25" s="556"/>
      <c r="K25" s="229">
        <f>+H25+I25*'Grafer-klima'!$O$9+'Affald og spildevand 2018'!J25*'Grafer-klima'!$P$9</f>
        <v>51.994203425240897</v>
      </c>
    </row>
    <row r="26" spans="2:11" ht="15" thickBot="1" x14ac:dyDescent="0.25">
      <c r="B26" s="409">
        <f t="shared" ref="B26:F26" si="0">SUM(B11:B25)</f>
        <v>99</v>
      </c>
      <c r="C26" s="623">
        <f t="shared" si="0"/>
        <v>0</v>
      </c>
      <c r="D26" s="408">
        <f t="shared" si="0"/>
        <v>130.70262163613739</v>
      </c>
      <c r="E26" s="408">
        <f t="shared" si="0"/>
        <v>0</v>
      </c>
      <c r="F26" s="408">
        <f t="shared" si="0"/>
        <v>5622.2758576077122</v>
      </c>
      <c r="G26" s="624" t="s">
        <v>249</v>
      </c>
      <c r="H26" s="601">
        <f>SUM(H11:H25)</f>
        <v>168.87930555444734</v>
      </c>
      <c r="I26" s="407">
        <f>SUM(I11:I25)</f>
        <v>311.90393092306823</v>
      </c>
      <c r="J26" s="407">
        <f>SUM(J11:J25)</f>
        <v>4.1351291952185631</v>
      </c>
      <c r="K26" s="606">
        <f>SUM(K11:K25)</f>
        <v>9198.7460788062872</v>
      </c>
    </row>
    <row r="27" spans="2:11" ht="16.5" x14ac:dyDescent="0.2">
      <c r="B27" s="577" t="s">
        <v>573</v>
      </c>
      <c r="G27" s="197"/>
    </row>
    <row r="28" spans="2:11" ht="16.5" x14ac:dyDescent="0.2">
      <c r="B28" s="577"/>
      <c r="G28" s="197"/>
    </row>
    <row r="29" spans="2:11" x14ac:dyDescent="0.2">
      <c r="G29" s="197"/>
    </row>
    <row r="30" spans="2:11" x14ac:dyDescent="0.2">
      <c r="G30" s="197"/>
    </row>
    <row r="31" spans="2:11" x14ac:dyDescent="0.2">
      <c r="G31" s="197"/>
    </row>
    <row r="32" spans="2:11" x14ac:dyDescent="0.2">
      <c r="G32" s="197"/>
    </row>
    <row r="33" spans="7:7" x14ac:dyDescent="0.2">
      <c r="G33" s="197"/>
    </row>
    <row r="34" spans="7:7" x14ac:dyDescent="0.2">
      <c r="G34" s="197"/>
    </row>
    <row r="35" spans="7:7" x14ac:dyDescent="0.2">
      <c r="G35" s="197"/>
    </row>
    <row r="36" spans="7:7" x14ac:dyDescent="0.2">
      <c r="G36" s="197"/>
    </row>
    <row r="37" spans="7:7" x14ac:dyDescent="0.2">
      <c r="G37" s="197"/>
    </row>
    <row r="38" spans="7:7" x14ac:dyDescent="0.2">
      <c r="G38" s="197"/>
    </row>
    <row r="39" spans="7:7" x14ac:dyDescent="0.2">
      <c r="G39" s="197"/>
    </row>
    <row r="40" spans="7:7" x14ac:dyDescent="0.2">
      <c r="G40" s="197"/>
    </row>
    <row r="41" spans="7:7" x14ac:dyDescent="0.2">
      <c r="G41" s="197"/>
    </row>
    <row r="42" spans="7:7" x14ac:dyDescent="0.2">
      <c r="G42" s="197"/>
    </row>
    <row r="43" spans="7:7" x14ac:dyDescent="0.2">
      <c r="G43" s="197"/>
    </row>
    <row r="44" spans="7:7" x14ac:dyDescent="0.2">
      <c r="G44" s="197"/>
    </row>
    <row r="45" spans="7:7" x14ac:dyDescent="0.2">
      <c r="G45" s="197"/>
    </row>
    <row r="46" spans="7:7" x14ac:dyDescent="0.2">
      <c r="G46" s="197"/>
    </row>
    <row r="47" spans="7:7" x14ac:dyDescent="0.2">
      <c r="G47" s="197"/>
    </row>
    <row r="48" spans="7:7" x14ac:dyDescent="0.2">
      <c r="G48" s="197"/>
    </row>
    <row r="49" spans="7:7" x14ac:dyDescent="0.2">
      <c r="G49" s="197"/>
    </row>
    <row r="50" spans="7:7" x14ac:dyDescent="0.2">
      <c r="G50" s="197"/>
    </row>
    <row r="51" spans="7:7" x14ac:dyDescent="0.2">
      <c r="G51" s="197"/>
    </row>
    <row r="52" spans="7:7" x14ac:dyDescent="0.2">
      <c r="G52" s="197"/>
    </row>
    <row r="53" spans="7:7" x14ac:dyDescent="0.2">
      <c r="G53" s="197"/>
    </row>
    <row r="54" spans="7:7" x14ac:dyDescent="0.2">
      <c r="G54" s="197"/>
    </row>
    <row r="55" spans="7:7" x14ac:dyDescent="0.2">
      <c r="G55" s="197"/>
    </row>
    <row r="56" spans="7:7" x14ac:dyDescent="0.2">
      <c r="G56" s="197"/>
    </row>
    <row r="57" spans="7:7" x14ac:dyDescent="0.2">
      <c r="G57" s="197"/>
    </row>
    <row r="58" spans="7:7" x14ac:dyDescent="0.2">
      <c r="G58" s="197"/>
    </row>
    <row r="59" spans="7:7" x14ac:dyDescent="0.2">
      <c r="G59" s="197"/>
    </row>
    <row r="60" spans="7:7" x14ac:dyDescent="0.2">
      <c r="G60" s="197"/>
    </row>
    <row r="61" spans="7:7" x14ac:dyDescent="0.2">
      <c r="G61" s="197"/>
    </row>
    <row r="62" spans="7:7" x14ac:dyDescent="0.2">
      <c r="G62" s="197"/>
    </row>
    <row r="63" spans="7:7" x14ac:dyDescent="0.2">
      <c r="G63" s="197"/>
    </row>
    <row r="64" spans="7:7" x14ac:dyDescent="0.2">
      <c r="G64" s="197"/>
    </row>
    <row r="65" spans="7:7" x14ac:dyDescent="0.2">
      <c r="G65" s="197"/>
    </row>
    <row r="66" spans="7:7" x14ac:dyDescent="0.2">
      <c r="G66" s="197"/>
    </row>
    <row r="67" spans="7:7" x14ac:dyDescent="0.2">
      <c r="G67" s="197"/>
    </row>
    <row r="68" spans="7:7" x14ac:dyDescent="0.2">
      <c r="G68" s="197"/>
    </row>
    <row r="69" spans="7:7" x14ac:dyDescent="0.2">
      <c r="G69" s="197"/>
    </row>
    <row r="70" spans="7:7" x14ac:dyDescent="0.2">
      <c r="G70" s="197"/>
    </row>
    <row r="71" spans="7:7" x14ac:dyDescent="0.2">
      <c r="G71" s="197"/>
    </row>
    <row r="72" spans="7:7" x14ac:dyDescent="0.2">
      <c r="G72" s="197"/>
    </row>
    <row r="73" spans="7:7" x14ac:dyDescent="0.2">
      <c r="G73" s="197"/>
    </row>
    <row r="74" spans="7:7" x14ac:dyDescent="0.2">
      <c r="G74" s="197"/>
    </row>
    <row r="75" spans="7:7" x14ac:dyDescent="0.2">
      <c r="G75" s="197"/>
    </row>
    <row r="76" spans="7:7" x14ac:dyDescent="0.2">
      <c r="G76" s="197"/>
    </row>
    <row r="77" spans="7:7" x14ac:dyDescent="0.2">
      <c r="G77" s="197"/>
    </row>
    <row r="78" spans="7:7" x14ac:dyDescent="0.2">
      <c r="G78" s="197"/>
    </row>
    <row r="79" spans="7:7" x14ac:dyDescent="0.2">
      <c r="G79" s="197"/>
    </row>
    <row r="80" spans="7:7" x14ac:dyDescent="0.2">
      <c r="G80" s="197"/>
    </row>
    <row r="81" spans="7:7" x14ac:dyDescent="0.2">
      <c r="G81" s="197"/>
    </row>
    <row r="82" spans="7:7" x14ac:dyDescent="0.2">
      <c r="G82" s="197"/>
    </row>
    <row r="83" spans="7:7" x14ac:dyDescent="0.2">
      <c r="G83" s="197"/>
    </row>
    <row r="84" spans="7:7" x14ac:dyDescent="0.2">
      <c r="G84" s="197"/>
    </row>
    <row r="85" spans="7:7" x14ac:dyDescent="0.2">
      <c r="G85" s="197"/>
    </row>
    <row r="86" spans="7:7" x14ac:dyDescent="0.2">
      <c r="G86" s="197"/>
    </row>
    <row r="87" spans="7:7" x14ac:dyDescent="0.2">
      <c r="G87" s="197"/>
    </row>
    <row r="88" spans="7:7" x14ac:dyDescent="0.2">
      <c r="G88" s="197"/>
    </row>
    <row r="89" spans="7:7" x14ac:dyDescent="0.2">
      <c r="G89" s="197"/>
    </row>
    <row r="90" spans="7:7" x14ac:dyDescent="0.2">
      <c r="G90" s="197"/>
    </row>
    <row r="91" spans="7:7" x14ac:dyDescent="0.2">
      <c r="G91" s="197"/>
    </row>
    <row r="92" spans="7:7" x14ac:dyDescent="0.2">
      <c r="G92" s="197"/>
    </row>
    <row r="93" spans="7:7" x14ac:dyDescent="0.2">
      <c r="G93" s="197"/>
    </row>
    <row r="94" spans="7:7" x14ac:dyDescent="0.2">
      <c r="G94" s="197"/>
    </row>
    <row r="95" spans="7:7" x14ac:dyDescent="0.2">
      <c r="G95" s="197"/>
    </row>
    <row r="96" spans="7:7" x14ac:dyDescent="0.2">
      <c r="G96" s="197"/>
    </row>
    <row r="97" spans="7:7" x14ac:dyDescent="0.2">
      <c r="G97" s="197"/>
    </row>
    <row r="98" spans="7:7" x14ac:dyDescent="0.2">
      <c r="G98" s="197"/>
    </row>
    <row r="99" spans="7:7" x14ac:dyDescent="0.2">
      <c r="G99" s="197"/>
    </row>
    <row r="100" spans="7:7" x14ac:dyDescent="0.2">
      <c r="G100" s="197"/>
    </row>
    <row r="101" spans="7:7" x14ac:dyDescent="0.2">
      <c r="G101" s="197"/>
    </row>
    <row r="102" spans="7:7" x14ac:dyDescent="0.2">
      <c r="G102" s="197"/>
    </row>
    <row r="103" spans="7:7" x14ac:dyDescent="0.2">
      <c r="G103" s="197"/>
    </row>
    <row r="104" spans="7:7" x14ac:dyDescent="0.2">
      <c r="G104" s="197"/>
    </row>
    <row r="105" spans="7:7" x14ac:dyDescent="0.2">
      <c r="G105" s="197"/>
    </row>
    <row r="106" spans="7:7" x14ac:dyDescent="0.2">
      <c r="G106" s="197"/>
    </row>
    <row r="107" spans="7:7" x14ac:dyDescent="0.2">
      <c r="G107" s="197"/>
    </row>
    <row r="108" spans="7:7" x14ac:dyDescent="0.2">
      <c r="G108" s="197"/>
    </row>
    <row r="109" spans="7:7" x14ac:dyDescent="0.2">
      <c r="G109" s="197"/>
    </row>
    <row r="110" spans="7:7" x14ac:dyDescent="0.2">
      <c r="G110" s="197"/>
    </row>
    <row r="111" spans="7:7" x14ac:dyDescent="0.2">
      <c r="G111" s="197"/>
    </row>
    <row r="112" spans="7:7" x14ac:dyDescent="0.2">
      <c r="G112" s="197"/>
    </row>
    <row r="113" spans="7:7" x14ac:dyDescent="0.2">
      <c r="G113" s="197"/>
    </row>
    <row r="114" spans="7:7" x14ac:dyDescent="0.2">
      <c r="G114" s="197"/>
    </row>
    <row r="115" spans="7:7" x14ac:dyDescent="0.2">
      <c r="G115" s="197"/>
    </row>
    <row r="116" spans="7:7" x14ac:dyDescent="0.2">
      <c r="G116" s="197"/>
    </row>
    <row r="117" spans="7:7" x14ac:dyDescent="0.2">
      <c r="G117" s="197"/>
    </row>
    <row r="118" spans="7:7" x14ac:dyDescent="0.2">
      <c r="G118" s="197"/>
    </row>
    <row r="119" spans="7:7" x14ac:dyDescent="0.2">
      <c r="G119" s="197"/>
    </row>
    <row r="120" spans="7:7" x14ac:dyDescent="0.2">
      <c r="G120" s="197"/>
    </row>
    <row r="121" spans="7:7" x14ac:dyDescent="0.2">
      <c r="G121" s="197"/>
    </row>
    <row r="122" spans="7:7" x14ac:dyDescent="0.2">
      <c r="G122" s="197"/>
    </row>
    <row r="123" spans="7:7" x14ac:dyDescent="0.2">
      <c r="G123" s="197"/>
    </row>
    <row r="124" spans="7:7" x14ac:dyDescent="0.2">
      <c r="G124" s="197"/>
    </row>
    <row r="125" spans="7:7" x14ac:dyDescent="0.2">
      <c r="G125" s="197"/>
    </row>
    <row r="126" spans="7:7" x14ac:dyDescent="0.2">
      <c r="G126" s="197"/>
    </row>
    <row r="127" spans="7:7" x14ac:dyDescent="0.2">
      <c r="G127" s="197"/>
    </row>
    <row r="128" spans="7:7" x14ac:dyDescent="0.2">
      <c r="G128" s="197"/>
    </row>
    <row r="129" spans="7:7" x14ac:dyDescent="0.2">
      <c r="G129" s="197"/>
    </row>
    <row r="130" spans="7:7" x14ac:dyDescent="0.2">
      <c r="G130" s="197"/>
    </row>
    <row r="131" spans="7:7" x14ac:dyDescent="0.2">
      <c r="G131" s="197"/>
    </row>
    <row r="132" spans="7:7" x14ac:dyDescent="0.2">
      <c r="G132" s="197"/>
    </row>
    <row r="133" spans="7:7" x14ac:dyDescent="0.2">
      <c r="G133" s="197"/>
    </row>
    <row r="134" spans="7:7" x14ac:dyDescent="0.2">
      <c r="G134" s="197"/>
    </row>
    <row r="135" spans="7:7" x14ac:dyDescent="0.2">
      <c r="G135" s="197"/>
    </row>
    <row r="136" spans="7:7" x14ac:dyDescent="0.2">
      <c r="G136" s="197"/>
    </row>
    <row r="137" spans="7:7" x14ac:dyDescent="0.2">
      <c r="G137" s="197"/>
    </row>
    <row r="138" spans="7:7" x14ac:dyDescent="0.2">
      <c r="G138" s="197"/>
    </row>
    <row r="139" spans="7:7" x14ac:dyDescent="0.2">
      <c r="G139" s="197"/>
    </row>
    <row r="140" spans="7:7" x14ac:dyDescent="0.2">
      <c r="G140" s="197"/>
    </row>
    <row r="141" spans="7:7" x14ac:dyDescent="0.2">
      <c r="G141" s="197"/>
    </row>
    <row r="142" spans="7:7" x14ac:dyDescent="0.2">
      <c r="G142" s="197"/>
    </row>
    <row r="143" spans="7:7" x14ac:dyDescent="0.2">
      <c r="G143" s="197"/>
    </row>
    <row r="144" spans="7:7" x14ac:dyDescent="0.2">
      <c r="G144" s="197"/>
    </row>
    <row r="145" spans="7:7" x14ac:dyDescent="0.2">
      <c r="G145" s="197"/>
    </row>
    <row r="146" spans="7:7" x14ac:dyDescent="0.2">
      <c r="G146" s="197"/>
    </row>
    <row r="147" spans="7:7" x14ac:dyDescent="0.2">
      <c r="G147" s="197"/>
    </row>
    <row r="148" spans="7:7" x14ac:dyDescent="0.2">
      <c r="G148" s="197"/>
    </row>
    <row r="149" spans="7:7" x14ac:dyDescent="0.2">
      <c r="G149" s="197"/>
    </row>
    <row r="150" spans="7:7" x14ac:dyDescent="0.2">
      <c r="G150" s="197"/>
    </row>
    <row r="151" spans="7:7" x14ac:dyDescent="0.2">
      <c r="G151" s="197"/>
    </row>
    <row r="152" spans="7:7" x14ac:dyDescent="0.2">
      <c r="G152" s="197"/>
    </row>
    <row r="153" spans="7:7" x14ac:dyDescent="0.2">
      <c r="G153" s="197"/>
    </row>
    <row r="154" spans="7:7" x14ac:dyDescent="0.2">
      <c r="G154" s="197"/>
    </row>
    <row r="155" spans="7:7" x14ac:dyDescent="0.2">
      <c r="G155" s="197"/>
    </row>
    <row r="156" spans="7:7" x14ac:dyDescent="0.2">
      <c r="G156" s="197"/>
    </row>
    <row r="157" spans="7:7" x14ac:dyDescent="0.2">
      <c r="G157" s="197"/>
    </row>
    <row r="158" spans="7:7" x14ac:dyDescent="0.2">
      <c r="G158" s="197"/>
    </row>
    <row r="159" spans="7:7" x14ac:dyDescent="0.2">
      <c r="G159" s="197"/>
    </row>
    <row r="160" spans="7:7" x14ac:dyDescent="0.2">
      <c r="G160" s="197"/>
    </row>
    <row r="161" spans="7:7" x14ac:dyDescent="0.2">
      <c r="G161" s="197"/>
    </row>
    <row r="162" spans="7:7" x14ac:dyDescent="0.2">
      <c r="G162" s="197"/>
    </row>
    <row r="163" spans="7:7" x14ac:dyDescent="0.2">
      <c r="G163" s="197"/>
    </row>
    <row r="164" spans="7:7" x14ac:dyDescent="0.2">
      <c r="G164" s="197"/>
    </row>
    <row r="165" spans="7:7" x14ac:dyDescent="0.2">
      <c r="G165" s="197"/>
    </row>
    <row r="166" spans="7:7" x14ac:dyDescent="0.2">
      <c r="G166" s="197"/>
    </row>
    <row r="167" spans="7:7" x14ac:dyDescent="0.2">
      <c r="G167" s="197"/>
    </row>
    <row r="168" spans="7:7" x14ac:dyDescent="0.2">
      <c r="G168" s="197"/>
    </row>
    <row r="169" spans="7:7" x14ac:dyDescent="0.2">
      <c r="G169" s="197"/>
    </row>
    <row r="170" spans="7:7" x14ac:dyDescent="0.2">
      <c r="G170" s="197"/>
    </row>
    <row r="171" spans="7:7" x14ac:dyDescent="0.2">
      <c r="G171" s="197"/>
    </row>
    <row r="172" spans="7:7" x14ac:dyDescent="0.2">
      <c r="G172" s="197"/>
    </row>
    <row r="173" spans="7:7" x14ac:dyDescent="0.2">
      <c r="G173" s="197"/>
    </row>
    <row r="174" spans="7:7" x14ac:dyDescent="0.2">
      <c r="G174" s="197"/>
    </row>
    <row r="175" spans="7:7" x14ac:dyDescent="0.2">
      <c r="G175" s="197"/>
    </row>
    <row r="176" spans="7:7" x14ac:dyDescent="0.2">
      <c r="G176" s="197"/>
    </row>
    <row r="177" spans="1:11" x14ac:dyDescent="0.2">
      <c r="G177" s="197"/>
    </row>
    <row r="178" spans="1:11" x14ac:dyDescent="0.2">
      <c r="G178" s="197"/>
    </row>
    <row r="179" spans="1:11" x14ac:dyDescent="0.2">
      <c r="G179" s="197"/>
    </row>
    <row r="180" spans="1:11" x14ac:dyDescent="0.2">
      <c r="G180" s="197"/>
    </row>
    <row r="181" spans="1:11" x14ac:dyDescent="0.2">
      <c r="G181" s="197"/>
    </row>
    <row r="182" spans="1:11" x14ac:dyDescent="0.2">
      <c r="G182" s="197"/>
    </row>
    <row r="183" spans="1:11" x14ac:dyDescent="0.2">
      <c r="G183" s="197"/>
    </row>
    <row r="184" spans="1:11" x14ac:dyDescent="0.2">
      <c r="G184" s="197"/>
    </row>
    <row r="185" spans="1:11" ht="15" thickBot="1" x14ac:dyDescent="0.25">
      <c r="G185" s="197"/>
    </row>
    <row r="186" spans="1:11" ht="15" thickBot="1" x14ac:dyDescent="0.25">
      <c r="A186" s="765" t="s">
        <v>408</v>
      </c>
      <c r="B186" s="768" t="s">
        <v>409</v>
      </c>
      <c r="C186" s="769"/>
      <c r="D186" s="769"/>
      <c r="E186" s="769"/>
      <c r="F186" s="769"/>
      <c r="G186" s="769"/>
      <c r="H186" s="769"/>
      <c r="I186" s="769"/>
      <c r="J186" s="769"/>
      <c r="K186" s="770"/>
    </row>
    <row r="187" spans="1:11" ht="15" thickBot="1" x14ac:dyDescent="0.25">
      <c r="A187" s="766"/>
      <c r="B187" s="414"/>
      <c r="C187" s="415"/>
      <c r="D187" s="415"/>
      <c r="E187" s="415"/>
      <c r="F187" s="415"/>
      <c r="G187" s="419" t="s">
        <v>410</v>
      </c>
      <c r="H187" s="38"/>
      <c r="I187" s="39"/>
      <c r="J187" s="420"/>
      <c r="K187" s="422"/>
    </row>
    <row r="188" spans="1:11" x14ac:dyDescent="0.2">
      <c r="A188" s="766"/>
      <c r="B188" s="423"/>
      <c r="C188" s="424"/>
      <c r="D188" s="424"/>
      <c r="E188" s="424"/>
      <c r="F188" s="424"/>
      <c r="G188" s="428" t="s">
        <v>411</v>
      </c>
      <c r="H188" s="429"/>
      <c r="I188" s="430"/>
      <c r="J188" s="431"/>
      <c r="K188" s="433"/>
    </row>
    <row r="189" spans="1:11" x14ac:dyDescent="0.2">
      <c r="A189" s="766"/>
      <c r="B189" s="434"/>
      <c r="C189" s="435"/>
      <c r="D189" s="435"/>
      <c r="E189" s="435"/>
      <c r="F189" s="435"/>
      <c r="G189" s="439" t="s">
        <v>412</v>
      </c>
      <c r="H189" s="19"/>
      <c r="I189" s="20"/>
      <c r="J189" s="440"/>
      <c r="K189" s="422"/>
    </row>
    <row r="190" spans="1:11" ht="15" thickBot="1" x14ac:dyDescent="0.25">
      <c r="A190" s="766"/>
      <c r="B190" s="442"/>
      <c r="C190" s="443"/>
      <c r="D190" s="443"/>
      <c r="E190" s="443"/>
      <c r="F190" s="443"/>
      <c r="G190" s="447" t="s">
        <v>413</v>
      </c>
      <c r="H190" s="43"/>
      <c r="I190" s="44"/>
      <c r="J190" s="448"/>
      <c r="K190" s="450"/>
    </row>
    <row r="191" spans="1:11" ht="15" thickBot="1" x14ac:dyDescent="0.25">
      <c r="A191" s="767"/>
      <c r="B191" s="451"/>
      <c r="C191" s="452"/>
      <c r="D191" s="452"/>
      <c r="E191" s="452"/>
      <c r="F191" s="452"/>
      <c r="G191" s="456" t="s">
        <v>414</v>
      </c>
      <c r="H191" s="457"/>
      <c r="I191" s="458"/>
      <c r="J191" s="459"/>
      <c r="K191" s="461"/>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2CD3B-034B-447E-8D01-05070D3CC37C}">
  <sheetPr codeName="Ark2">
    <tabColor rgb="FFFFC000"/>
    <pageSetUpPr fitToPage="1"/>
  </sheetPr>
  <dimension ref="A1:AZ701"/>
  <sheetViews>
    <sheetView showGridLines="0" tabSelected="1" topLeftCell="A142" zoomScale="85" zoomScaleNormal="85" workbookViewId="0">
      <selection activeCell="J154" sqref="J154"/>
    </sheetView>
  </sheetViews>
  <sheetFormatPr defaultColWidth="9.140625" defaultRowHeight="14.25" x14ac:dyDescent="0.2"/>
  <cols>
    <col min="1" max="1" width="8.7109375" style="201" customWidth="1"/>
    <col min="2" max="2" width="42.42578125" style="201" customWidth="1"/>
    <col min="3" max="3" width="16.42578125" style="201" bestFit="1" customWidth="1"/>
    <col min="4" max="4" width="22.42578125" style="201" customWidth="1"/>
    <col min="5" max="5" width="23.5703125" style="201" customWidth="1"/>
    <col min="6" max="6" width="12.85546875" style="201" customWidth="1"/>
    <col min="7" max="7" width="37.5703125" style="201" customWidth="1"/>
    <col min="8" max="8" width="23.5703125" style="201" customWidth="1"/>
    <col min="9" max="9" width="25" style="201" customWidth="1"/>
    <col min="10" max="10" width="31.140625" style="201" customWidth="1"/>
    <col min="11" max="12" width="14.42578125" style="201" customWidth="1"/>
    <col min="13" max="13" width="38.5703125" style="201" customWidth="1"/>
    <col min="14" max="14" width="16.42578125" style="201" customWidth="1"/>
    <col min="15" max="15" width="19.28515625" style="201" bestFit="1" customWidth="1"/>
    <col min="16" max="17" width="14.42578125" style="201" customWidth="1"/>
    <col min="18" max="18" width="32.42578125" style="201" customWidth="1"/>
    <col min="19" max="19" width="22.5703125" style="201" customWidth="1"/>
    <col min="20" max="20" width="13.140625" style="196" customWidth="1"/>
    <col min="21" max="21" width="9.140625" style="196"/>
    <col min="22" max="22" width="22.140625" style="196" bestFit="1" customWidth="1"/>
    <col min="23" max="32" width="9.140625" style="196"/>
    <col min="33" max="33" width="11.140625" style="196" customWidth="1"/>
    <col min="34" max="34" width="13.5703125" style="196" customWidth="1"/>
    <col min="35" max="52" width="9.140625" style="196"/>
    <col min="53" max="16384" width="9.140625" style="337"/>
  </cols>
  <sheetData>
    <row r="1" spans="1:52" ht="33.6" customHeight="1" x14ac:dyDescent="0.4">
      <c r="A1" s="66" t="s">
        <v>76</v>
      </c>
      <c r="B1" s="64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row>
    <row r="2" spans="1:52" x14ac:dyDescent="0.2">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row>
    <row r="3" spans="1:52" ht="18.75" x14ac:dyDescent="0.3">
      <c r="A3" s="337"/>
      <c r="B3" s="337"/>
      <c r="C3" s="337"/>
      <c r="D3" s="337"/>
      <c r="E3" s="337"/>
      <c r="F3" s="337"/>
      <c r="G3" s="337"/>
      <c r="H3" s="337"/>
      <c r="I3" s="337"/>
      <c r="J3" s="337"/>
      <c r="K3" s="337"/>
      <c r="L3" s="636" t="s">
        <v>357</v>
      </c>
      <c r="M3" s="637"/>
      <c r="N3" s="637"/>
      <c r="O3" s="337"/>
      <c r="P3" s="337"/>
      <c r="Q3" s="337"/>
      <c r="R3" s="337"/>
      <c r="S3" s="337"/>
      <c r="T3" s="337"/>
      <c r="U3" s="337"/>
      <c r="V3" s="337"/>
      <c r="W3" s="337"/>
      <c r="X3" s="337"/>
      <c r="Y3" s="337"/>
      <c r="Z3" s="337"/>
      <c r="AA3" s="337"/>
      <c r="AB3" s="337"/>
      <c r="AC3" s="337"/>
      <c r="AD3" s="337"/>
      <c r="AE3" s="337"/>
    </row>
    <row r="4" spans="1:52" ht="18" x14ac:dyDescent="0.35">
      <c r="A4" s="337"/>
      <c r="B4" s="337"/>
      <c r="C4" s="337"/>
      <c r="D4" s="337"/>
      <c r="E4" s="337"/>
      <c r="F4" s="337"/>
      <c r="G4" s="337"/>
      <c r="H4" s="337"/>
      <c r="I4" s="337"/>
      <c r="J4" s="337"/>
      <c r="K4" s="337"/>
      <c r="L4" s="637"/>
      <c r="M4" s="637"/>
      <c r="N4" s="637" t="s">
        <v>353</v>
      </c>
      <c r="O4" s="337"/>
      <c r="P4" s="337"/>
      <c r="Q4" s="337"/>
      <c r="R4" s="337"/>
      <c r="S4" s="337"/>
      <c r="T4" s="337"/>
      <c r="U4" s="337"/>
      <c r="V4" s="337"/>
      <c r="W4" s="337"/>
      <c r="X4" s="337"/>
      <c r="Y4" s="337"/>
      <c r="Z4" s="337"/>
      <c r="AA4" s="337"/>
      <c r="AB4" s="337"/>
      <c r="AC4" s="337"/>
      <c r="AD4" s="337"/>
      <c r="AE4" s="337"/>
    </row>
    <row r="5" spans="1:52" ht="16.5" thickBot="1" x14ac:dyDescent="0.3">
      <c r="A5" s="337"/>
      <c r="B5" s="337"/>
      <c r="C5" s="337"/>
      <c r="D5" s="337"/>
      <c r="E5" s="337"/>
      <c r="F5" s="337"/>
      <c r="G5" s="337"/>
      <c r="H5" s="337"/>
      <c r="I5" s="337"/>
      <c r="J5" s="337"/>
      <c r="K5" s="337"/>
      <c r="L5" s="638" t="s">
        <v>356</v>
      </c>
      <c r="M5" s="637"/>
      <c r="N5" s="639"/>
      <c r="O5" s="639" t="s">
        <v>362</v>
      </c>
      <c r="P5" s="639" t="s">
        <v>354</v>
      </c>
      <c r="Q5" s="337"/>
      <c r="R5" s="337"/>
      <c r="S5" s="337"/>
      <c r="T5" s="337"/>
      <c r="U5" s="337"/>
      <c r="V5" s="337"/>
      <c r="W5" s="337"/>
      <c r="X5" s="337"/>
      <c r="Y5" s="337"/>
      <c r="Z5" s="337"/>
      <c r="AA5" s="337"/>
      <c r="AB5" s="337"/>
      <c r="AC5" s="337"/>
      <c r="AD5" s="337"/>
      <c r="AE5" s="337"/>
    </row>
    <row r="6" spans="1:52" ht="15" thickBot="1" x14ac:dyDescent="0.25">
      <c r="A6" s="337"/>
      <c r="B6" s="337"/>
      <c r="C6" s="337"/>
      <c r="D6" s="337"/>
      <c r="E6" s="337"/>
      <c r="F6" s="337"/>
      <c r="G6" s="337"/>
      <c r="H6" s="337"/>
      <c r="I6" s="337"/>
      <c r="J6" s="337"/>
      <c r="K6" s="337"/>
      <c r="L6" s="645" t="s">
        <v>355</v>
      </c>
      <c r="M6" s="637"/>
      <c r="N6" s="639" t="s">
        <v>355</v>
      </c>
      <c r="O6" s="639">
        <v>25</v>
      </c>
      <c r="P6" s="639">
        <v>298</v>
      </c>
      <c r="Q6" s="337"/>
      <c r="R6" s="337"/>
      <c r="S6" s="337"/>
      <c r="T6" s="337"/>
      <c r="U6" s="337"/>
      <c r="V6" s="337"/>
      <c r="W6" s="337"/>
      <c r="X6" s="337"/>
      <c r="Y6" s="337"/>
      <c r="Z6" s="337"/>
      <c r="AA6" s="337"/>
      <c r="AB6" s="337"/>
      <c r="AC6" s="337"/>
      <c r="AD6" s="337"/>
      <c r="AE6" s="337"/>
    </row>
    <row r="7" spans="1:52" x14ac:dyDescent="0.2">
      <c r="A7" s="337"/>
      <c r="B7" s="337"/>
      <c r="C7" s="337"/>
      <c r="D7" s="337"/>
      <c r="E7" s="337"/>
      <c r="F7" s="337"/>
      <c r="G7" s="337"/>
      <c r="H7" s="337"/>
      <c r="I7" s="337"/>
      <c r="J7" s="337"/>
      <c r="K7" s="337"/>
      <c r="L7" s="637"/>
      <c r="M7" s="637"/>
      <c r="N7" s="639" t="s">
        <v>352</v>
      </c>
      <c r="O7" s="639">
        <v>28</v>
      </c>
      <c r="P7" s="639">
        <v>265</v>
      </c>
      <c r="Q7" s="337"/>
      <c r="R7" s="337"/>
      <c r="S7" s="337"/>
      <c r="T7" s="337"/>
      <c r="U7" s="337"/>
      <c r="V7" s="337"/>
      <c r="W7" s="337"/>
      <c r="X7" s="337"/>
      <c r="Y7" s="337"/>
      <c r="Z7" s="337"/>
      <c r="AA7" s="337"/>
      <c r="AB7" s="337"/>
      <c r="AC7" s="337"/>
      <c r="AD7" s="337"/>
      <c r="AE7" s="337"/>
    </row>
    <row r="8" spans="1:52" x14ac:dyDescent="0.2">
      <c r="A8" s="337"/>
      <c r="B8" s="337"/>
      <c r="C8" s="337"/>
      <c r="D8" s="337"/>
      <c r="E8" s="337"/>
      <c r="F8" s="337"/>
      <c r="G8" s="337"/>
      <c r="H8" s="337"/>
      <c r="I8" s="337"/>
      <c r="J8" s="337"/>
      <c r="K8" s="337"/>
      <c r="L8" s="337"/>
      <c r="M8" s="637"/>
      <c r="N8" s="640" t="s">
        <v>416</v>
      </c>
      <c r="O8" s="641"/>
      <c r="P8" s="642"/>
      <c r="Q8" s="337"/>
      <c r="R8" s="337"/>
      <c r="S8" s="337"/>
      <c r="T8" s="337"/>
      <c r="U8" s="337"/>
      <c r="V8" s="337"/>
      <c r="W8" s="337"/>
      <c r="X8" s="337"/>
      <c r="Y8" s="337"/>
      <c r="Z8" s="337"/>
      <c r="AA8" s="337"/>
      <c r="AB8" s="337"/>
      <c r="AC8" s="337"/>
      <c r="AD8" s="337"/>
      <c r="AE8" s="337"/>
    </row>
    <row r="9" spans="1:52" x14ac:dyDescent="0.2">
      <c r="A9" s="337"/>
      <c r="B9" s="337"/>
      <c r="C9" s="337"/>
      <c r="D9" s="337"/>
      <c r="E9" s="337"/>
      <c r="F9" s="337"/>
      <c r="G9" s="337"/>
      <c r="H9" s="337"/>
      <c r="I9" s="337"/>
      <c r="J9" s="337"/>
      <c r="K9" s="337"/>
      <c r="L9" s="337"/>
      <c r="M9" s="337"/>
      <c r="N9" s="643"/>
      <c r="O9" s="643">
        <f>VLOOKUP($L$6,$N$6:$P$7,2,FALSE)</f>
        <v>25</v>
      </c>
      <c r="P9" s="643">
        <f>VLOOKUP($L$6,$N$6:$P$7,3,FALSE)</f>
        <v>298</v>
      </c>
      <c r="Q9" s="337"/>
      <c r="R9" s="337"/>
      <c r="S9" s="337"/>
      <c r="T9" s="337"/>
      <c r="U9" s="337"/>
      <c r="V9" s="337"/>
      <c r="W9" s="337"/>
      <c r="X9" s="337"/>
      <c r="Y9" s="337"/>
      <c r="Z9" s="337"/>
      <c r="AA9" s="337"/>
      <c r="AB9" s="337"/>
      <c r="AC9" s="337"/>
      <c r="AD9" s="337"/>
      <c r="AE9" s="337"/>
    </row>
    <row r="10" spans="1:52" ht="15" x14ac:dyDescent="0.25">
      <c r="A10" s="337"/>
      <c r="B10" s="337"/>
      <c r="C10" s="337"/>
      <c r="D10" s="337"/>
      <c r="E10" s="337"/>
      <c r="F10" s="337"/>
      <c r="G10" s="337"/>
      <c r="H10" s="337"/>
      <c r="I10" s="337"/>
      <c r="J10" s="337"/>
      <c r="K10" s="337"/>
      <c r="L10" s="337"/>
      <c r="M10" s="337"/>
      <c r="N10" s="337"/>
      <c r="O10" s="337"/>
      <c r="P10" s="337"/>
      <c r="Q10" s="644"/>
      <c r="R10" s="337"/>
      <c r="S10" s="337"/>
      <c r="T10" s="337"/>
      <c r="U10" s="337"/>
      <c r="V10" s="337"/>
      <c r="W10" s="337"/>
      <c r="X10" s="337"/>
      <c r="Y10" s="337"/>
      <c r="Z10" s="337"/>
      <c r="AA10" s="337"/>
      <c r="AB10" s="337"/>
      <c r="AC10" s="337"/>
      <c r="AD10" s="337"/>
      <c r="AE10" s="337"/>
    </row>
    <row r="11" spans="1:52" ht="15" x14ac:dyDescent="0.25">
      <c r="A11" s="337"/>
      <c r="B11" s="337"/>
      <c r="C11" s="337"/>
      <c r="D11" s="337"/>
      <c r="E11" s="337"/>
      <c r="F11" s="337"/>
      <c r="G11" s="337"/>
      <c r="H11" s="337"/>
      <c r="I11" s="337"/>
      <c r="J11" s="337"/>
      <c r="K11" s="337"/>
      <c r="L11" s="337"/>
      <c r="M11" s="337"/>
      <c r="N11" s="337"/>
      <c r="O11" s="337"/>
      <c r="P11" s="337"/>
      <c r="Q11" s="644"/>
      <c r="R11" s="337"/>
      <c r="S11" s="337"/>
      <c r="T11" s="337"/>
      <c r="U11" s="337"/>
      <c r="V11" s="337"/>
      <c r="W11" s="337"/>
      <c r="X11" s="337"/>
      <c r="Y11" s="337"/>
      <c r="Z11" s="337"/>
      <c r="AA11" s="337"/>
      <c r="AB11" s="337"/>
      <c r="AC11" s="337"/>
      <c r="AD11" s="337"/>
      <c r="AE11" s="337"/>
    </row>
    <row r="12" spans="1:52" ht="15" x14ac:dyDescent="0.25">
      <c r="A12" s="337"/>
      <c r="B12" s="337"/>
      <c r="C12" s="337"/>
      <c r="D12" s="337"/>
      <c r="E12" s="337"/>
      <c r="F12" s="337"/>
      <c r="G12" s="337"/>
      <c r="H12" s="337"/>
      <c r="I12" s="337"/>
      <c r="J12" s="337"/>
      <c r="K12" s="337"/>
      <c r="L12" s="337"/>
      <c r="M12" s="337"/>
      <c r="N12" s="337"/>
      <c r="O12" s="337"/>
      <c r="P12" s="337"/>
      <c r="Q12" s="644"/>
      <c r="R12" s="337"/>
      <c r="S12" s="337"/>
      <c r="T12" s="337"/>
      <c r="U12" s="337"/>
      <c r="V12" s="337"/>
      <c r="W12" s="337"/>
      <c r="X12" s="337"/>
      <c r="Y12" s="337"/>
      <c r="Z12" s="337"/>
      <c r="AA12" s="337"/>
      <c r="AB12" s="337"/>
      <c r="AC12" s="337"/>
      <c r="AD12" s="337"/>
      <c r="AE12" s="337"/>
    </row>
    <row r="13" spans="1:52" ht="15" x14ac:dyDescent="0.25">
      <c r="A13" s="337"/>
      <c r="B13" s="337"/>
      <c r="C13" s="337"/>
      <c r="D13" s="337"/>
      <c r="E13" s="337"/>
      <c r="F13" s="337"/>
      <c r="G13" s="337"/>
      <c r="H13" s="337"/>
      <c r="I13" s="337"/>
      <c r="J13" s="337"/>
      <c r="K13" s="337"/>
      <c r="L13" s="337"/>
      <c r="M13" s="337"/>
      <c r="N13" s="337"/>
      <c r="O13" s="337"/>
      <c r="P13" s="337"/>
      <c r="Q13" s="644"/>
      <c r="R13" s="337"/>
      <c r="S13" s="337"/>
      <c r="T13" s="337"/>
      <c r="U13" s="337"/>
      <c r="V13" s="337"/>
      <c r="W13" s="337"/>
      <c r="X13" s="337"/>
      <c r="Y13" s="337"/>
      <c r="Z13" s="337"/>
      <c r="AA13" s="337"/>
      <c r="AB13" s="337"/>
      <c r="AC13" s="337"/>
      <c r="AD13" s="337"/>
      <c r="AE13" s="337"/>
    </row>
    <row r="14" spans="1:52" ht="15" x14ac:dyDescent="0.25">
      <c r="A14" s="337"/>
      <c r="B14" s="337"/>
      <c r="C14" s="337"/>
      <c r="D14" s="337"/>
      <c r="E14" s="337"/>
      <c r="F14" s="337"/>
      <c r="G14" s="337"/>
      <c r="H14" s="337"/>
      <c r="I14" s="337"/>
      <c r="J14" s="337"/>
      <c r="K14" s="337"/>
      <c r="L14" s="337"/>
      <c r="M14" s="337"/>
      <c r="N14" s="337"/>
      <c r="O14" s="337"/>
      <c r="P14" s="337"/>
      <c r="Q14" s="644"/>
      <c r="R14" s="337"/>
      <c r="S14" s="337"/>
      <c r="T14" s="337"/>
      <c r="U14" s="337"/>
      <c r="V14" s="337"/>
      <c r="W14" s="337"/>
      <c r="X14" s="337"/>
      <c r="Y14" s="337"/>
      <c r="Z14" s="337"/>
      <c r="AA14" s="337"/>
      <c r="AB14" s="337"/>
      <c r="AC14" s="337"/>
      <c r="AD14" s="337"/>
      <c r="AE14" s="337"/>
    </row>
    <row r="15" spans="1:52" ht="15" x14ac:dyDescent="0.25">
      <c r="A15" s="337"/>
      <c r="B15" s="337"/>
      <c r="C15" s="337"/>
      <c r="D15" s="337"/>
      <c r="E15" s="337"/>
      <c r="F15" s="337"/>
      <c r="G15" s="337"/>
      <c r="H15" s="337"/>
      <c r="I15" s="337"/>
      <c r="J15" s="337"/>
      <c r="K15" s="337"/>
      <c r="L15" s="337"/>
      <c r="M15" s="337"/>
      <c r="N15" s="337"/>
      <c r="O15" s="337"/>
      <c r="P15" s="337"/>
      <c r="Q15" s="644"/>
      <c r="R15" s="337"/>
      <c r="S15" s="337"/>
      <c r="T15" s="337"/>
      <c r="U15" s="337"/>
      <c r="V15" s="337"/>
      <c r="W15" s="337"/>
      <c r="X15" s="337"/>
      <c r="Y15" s="337"/>
      <c r="Z15" s="337"/>
      <c r="AA15" s="337"/>
      <c r="AB15" s="337"/>
      <c r="AC15" s="337"/>
      <c r="AD15" s="337"/>
      <c r="AE15" s="337"/>
    </row>
    <row r="16" spans="1:52" ht="15" x14ac:dyDescent="0.25">
      <c r="A16" s="337"/>
      <c r="B16" s="337"/>
      <c r="C16" s="337"/>
      <c r="D16" s="337"/>
      <c r="E16" s="337"/>
      <c r="F16" s="337"/>
      <c r="G16" s="337"/>
      <c r="H16" s="337"/>
      <c r="I16" s="337"/>
      <c r="J16" s="337"/>
      <c r="K16" s="337"/>
      <c r="L16" s="337"/>
      <c r="M16" s="337"/>
      <c r="N16" s="337"/>
      <c r="O16" s="337"/>
      <c r="P16" s="337"/>
      <c r="Q16" s="644"/>
      <c r="R16" s="337"/>
      <c r="S16" s="337"/>
      <c r="T16" s="337"/>
      <c r="U16" s="337"/>
      <c r="V16" s="337"/>
      <c r="W16" s="337"/>
      <c r="X16" s="337"/>
      <c r="Y16" s="337"/>
      <c r="Z16" s="337"/>
      <c r="AA16" s="337"/>
      <c r="AB16" s="337"/>
      <c r="AC16" s="337"/>
      <c r="AD16" s="337"/>
      <c r="AE16" s="337"/>
    </row>
    <row r="17" spans="1:52" x14ac:dyDescent="0.2">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row>
    <row r="18" spans="1:52" x14ac:dyDescent="0.2">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row>
    <row r="19" spans="1:52" x14ac:dyDescent="0.2">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row>
    <row r="20" spans="1:52" x14ac:dyDescent="0.2">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row>
    <row r="21" spans="1:52" x14ac:dyDescent="0.2">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row>
    <row r="22" spans="1:52" s="634" customFormat="1" ht="14.25" customHeight="1" x14ac:dyDescent="0.2">
      <c r="C22" s="635"/>
      <c r="J22" s="635"/>
      <c r="AF22" s="633"/>
      <c r="AG22" s="633"/>
      <c r="AH22" s="633"/>
      <c r="AI22" s="633"/>
      <c r="AJ22" s="633"/>
      <c r="AK22" s="633"/>
      <c r="AL22" s="633"/>
      <c r="AM22" s="633"/>
      <c r="AN22" s="633"/>
      <c r="AO22" s="633"/>
      <c r="AP22" s="633"/>
      <c r="AQ22" s="633"/>
      <c r="AR22" s="633"/>
      <c r="AS22" s="633"/>
      <c r="AT22" s="633"/>
      <c r="AU22" s="633"/>
      <c r="AV22" s="633"/>
      <c r="AW22" s="633"/>
      <c r="AX22" s="633"/>
      <c r="AY22" s="633"/>
      <c r="AZ22" s="633"/>
    </row>
    <row r="23" spans="1:52" ht="34.5" customHeight="1" x14ac:dyDescent="0.2">
      <c r="A23" s="196"/>
      <c r="B23" s="648" t="s">
        <v>576</v>
      </c>
      <c r="C23" s="196"/>
      <c r="D23" s="196"/>
      <c r="E23" s="196"/>
      <c r="F23" s="196"/>
      <c r="G23" s="196"/>
      <c r="H23" s="196"/>
      <c r="I23" s="196"/>
      <c r="J23" s="196"/>
      <c r="K23" s="196"/>
      <c r="L23" s="196"/>
      <c r="M23" s="648" t="s">
        <v>577</v>
      </c>
      <c r="N23" s="196"/>
      <c r="O23" s="196"/>
      <c r="P23" s="196"/>
      <c r="Q23" s="196"/>
      <c r="R23" s="196"/>
      <c r="S23" s="196"/>
    </row>
    <row r="24" spans="1:52" ht="14.25" customHeight="1" x14ac:dyDescent="0.35">
      <c r="A24" s="197"/>
      <c r="B24" s="199"/>
      <c r="C24" s="197"/>
      <c r="D24" s="197"/>
      <c r="E24" s="197"/>
      <c r="F24" s="197"/>
      <c r="G24" s="197"/>
      <c r="H24" s="197"/>
      <c r="I24" s="197"/>
      <c r="J24" s="197"/>
      <c r="K24" s="197"/>
      <c r="L24" s="650"/>
      <c r="M24" s="199"/>
      <c r="N24" s="197"/>
      <c r="O24" s="197"/>
      <c r="P24" s="197"/>
      <c r="Q24" s="197"/>
      <c r="R24" s="197"/>
      <c r="S24" s="197"/>
      <c r="T24" s="197"/>
      <c r="U24" s="197"/>
      <c r="V24" s="197"/>
      <c r="W24" s="197"/>
      <c r="X24" s="197"/>
      <c r="Y24" s="197"/>
      <c r="Z24" s="197"/>
      <c r="AA24" s="197"/>
      <c r="AB24" s="197"/>
      <c r="AC24" s="197"/>
      <c r="AD24" s="197"/>
      <c r="AE24" s="197"/>
    </row>
    <row r="25" spans="1:52" x14ac:dyDescent="0.2">
      <c r="A25" s="745" t="s">
        <v>229</v>
      </c>
      <c r="B25" s="745"/>
      <c r="C25" s="200">
        <f>'E2018'!D1</f>
        <v>46599</v>
      </c>
      <c r="L25" s="651"/>
      <c r="N25" s="202" t="s">
        <v>230</v>
      </c>
      <c r="O25" s="203">
        <v>5806015</v>
      </c>
      <c r="T25" s="201"/>
      <c r="U25" s="201"/>
      <c r="V25" s="201"/>
      <c r="W25" s="201"/>
      <c r="X25" s="201"/>
      <c r="Y25" s="201"/>
      <c r="Z25" s="201"/>
      <c r="AA25" s="201"/>
      <c r="AB25" s="201"/>
      <c r="AC25" s="201"/>
      <c r="AD25" s="201"/>
      <c r="AE25" s="201"/>
    </row>
    <row r="26" spans="1:52" ht="16.5" x14ac:dyDescent="0.2">
      <c r="B26" s="204" t="s">
        <v>654</v>
      </c>
      <c r="C26" s="338">
        <v>683.4</v>
      </c>
      <c r="D26" s="201" t="s">
        <v>655</v>
      </c>
      <c r="L26" s="651"/>
      <c r="N26" s="202" t="s">
        <v>231</v>
      </c>
      <c r="O26" s="205">
        <v>42934.1</v>
      </c>
      <c r="P26" s="206"/>
      <c r="T26" s="201"/>
      <c r="U26" s="201"/>
      <c r="V26" s="201"/>
      <c r="W26" s="201"/>
      <c r="X26" s="201"/>
      <c r="Y26" s="201"/>
      <c r="Z26" s="201"/>
      <c r="AA26" s="201"/>
      <c r="AB26" s="201"/>
      <c r="AC26" s="201"/>
      <c r="AD26" s="201"/>
      <c r="AE26" s="201"/>
    </row>
    <row r="27" spans="1:52" x14ac:dyDescent="0.2">
      <c r="B27" s="204" t="s">
        <v>232</v>
      </c>
      <c r="C27" s="338">
        <v>14602269434.304901</v>
      </c>
      <c r="D27" s="201" t="s">
        <v>233</v>
      </c>
      <c r="L27" s="651"/>
      <c r="N27" s="202" t="s">
        <v>234</v>
      </c>
      <c r="O27" s="203">
        <f>2231073.40951218*1000000</f>
        <v>2231073409512.1797</v>
      </c>
      <c r="P27" s="207"/>
      <c r="T27" s="201"/>
      <c r="U27" s="201"/>
      <c r="V27" s="201"/>
      <c r="W27" s="201"/>
      <c r="X27" s="201"/>
      <c r="Y27" s="201"/>
      <c r="Z27" s="201"/>
      <c r="AA27" s="201"/>
      <c r="AB27" s="201"/>
      <c r="AC27" s="201"/>
      <c r="AD27" s="201"/>
      <c r="AE27" s="201"/>
    </row>
    <row r="28" spans="1:52" x14ac:dyDescent="0.2">
      <c r="B28" s="202" t="s">
        <v>235</v>
      </c>
      <c r="C28" s="208">
        <f>C27/C25</f>
        <v>313360.14580366318</v>
      </c>
      <c r="D28" s="201" t="s">
        <v>233</v>
      </c>
      <c r="L28" s="651"/>
      <c r="N28" s="202" t="s">
        <v>235</v>
      </c>
      <c r="O28" s="208">
        <f>O27/O25</f>
        <v>384269.31544478954</v>
      </c>
      <c r="T28" s="201"/>
      <c r="U28" s="201"/>
      <c r="V28" s="201"/>
      <c r="W28" s="201"/>
      <c r="X28" s="201"/>
      <c r="Y28" s="201"/>
      <c r="Z28" s="201"/>
      <c r="AA28" s="201"/>
      <c r="AB28" s="201"/>
      <c r="AC28" s="201"/>
      <c r="AD28" s="201"/>
      <c r="AE28" s="201"/>
    </row>
    <row r="29" spans="1:52" ht="29.45" customHeight="1" thickBot="1" x14ac:dyDescent="0.25">
      <c r="B29" s="202"/>
      <c r="C29" s="209"/>
      <c r="L29" s="651"/>
      <c r="T29" s="201"/>
      <c r="U29" s="201"/>
      <c r="V29" s="201"/>
      <c r="W29" s="201"/>
      <c r="X29" s="201"/>
      <c r="Y29" s="201"/>
      <c r="Z29" s="201"/>
      <c r="AA29" s="201"/>
      <c r="AB29" s="201"/>
      <c r="AC29" s="201"/>
      <c r="AD29" s="201"/>
      <c r="AE29" s="201"/>
    </row>
    <row r="30" spans="1:52" ht="32.25" thickBot="1" x14ac:dyDescent="0.3">
      <c r="B30" s="210" t="s">
        <v>581</v>
      </c>
      <c r="C30" s="211">
        <v>1990</v>
      </c>
      <c r="D30" s="212">
        <v>2018</v>
      </c>
      <c r="E30" s="682" t="s">
        <v>658</v>
      </c>
      <c r="G30" s="213" t="s">
        <v>351</v>
      </c>
      <c r="H30" s="214">
        <v>2018</v>
      </c>
      <c r="I30" s="682" t="s">
        <v>658</v>
      </c>
      <c r="K30" s="649"/>
      <c r="L30" s="651"/>
      <c r="M30" s="215" t="s">
        <v>347</v>
      </c>
      <c r="N30" s="216">
        <v>1990</v>
      </c>
      <c r="O30" s="217">
        <v>2018</v>
      </c>
      <c r="P30" s="218" t="s">
        <v>236</v>
      </c>
      <c r="R30" s="213" t="s">
        <v>351</v>
      </c>
      <c r="S30" s="214">
        <v>2018</v>
      </c>
      <c r="T30" s="201"/>
      <c r="U30" s="201"/>
      <c r="V30" s="201"/>
      <c r="W30" s="201"/>
      <c r="X30" s="201"/>
      <c r="Y30" s="201"/>
      <c r="Z30" s="201"/>
      <c r="AA30" s="201"/>
      <c r="AB30" s="201"/>
      <c r="AC30" s="201"/>
      <c r="AD30" s="201"/>
      <c r="AE30" s="201"/>
    </row>
    <row r="31" spans="1:52" ht="18.75" x14ac:dyDescent="0.35">
      <c r="B31" s="219" t="s">
        <v>237</v>
      </c>
      <c r="C31" s="625">
        <f>D31/(1-P31)</f>
        <v>121011.45212921014</v>
      </c>
      <c r="D31" s="626">
        <f>Planteavl2018!AE24</f>
        <v>83180.396155032271</v>
      </c>
      <c r="E31" s="221">
        <f>Planteavl2018!$AE$24</f>
        <v>83180.396155032271</v>
      </c>
      <c r="F31" s="264" t="s">
        <v>659</v>
      </c>
      <c r="G31" s="222" t="s">
        <v>348</v>
      </c>
      <c r="H31" s="223">
        <f>D38/C25</f>
        <v>13.629596869039688</v>
      </c>
      <c r="I31" s="683">
        <f>E38/$C$25</f>
        <v>11.856134779349722</v>
      </c>
      <c r="K31" s="649"/>
      <c r="L31" s="651"/>
      <c r="M31" s="225" t="s">
        <v>238</v>
      </c>
      <c r="N31" s="226">
        <v>6294.3067454164102</v>
      </c>
      <c r="O31" s="227">
        <v>4326.5568621223865</v>
      </c>
      <c r="P31" s="228">
        <f>(N31-O31)/N31</f>
        <v>0.31262376666452785</v>
      </c>
      <c r="R31" s="222" t="s">
        <v>348</v>
      </c>
      <c r="S31" s="229">
        <f>O38*1000/O25</f>
        <v>9.6322303252881003</v>
      </c>
      <c r="T31" s="201"/>
      <c r="U31" s="201"/>
      <c r="V31" s="201"/>
      <c r="W31" s="201"/>
      <c r="X31" s="201"/>
      <c r="Y31" s="201"/>
      <c r="Z31" s="201"/>
      <c r="AA31" s="201"/>
      <c r="AB31" s="201"/>
      <c r="AC31" s="201"/>
      <c r="AD31" s="201"/>
      <c r="AE31" s="201"/>
      <c r="AG31" s="230" t="s">
        <v>239</v>
      </c>
      <c r="AH31" s="230"/>
    </row>
    <row r="32" spans="1:52" ht="18.75" x14ac:dyDescent="0.35">
      <c r="B32" s="231" t="s">
        <v>240</v>
      </c>
      <c r="C32" s="338">
        <f t="shared" ref="C32:C33" si="0">D32/(1-P32)</f>
        <v>189628.16069912384</v>
      </c>
      <c r="D32" s="627">
        <f>Dyrehold2018!AA22</f>
        <v>185402.4428501619</v>
      </c>
      <c r="E32" s="223">
        <f>Dyrehold2018!$AA$22</f>
        <v>185402.4428501619</v>
      </c>
      <c r="F32" s="264" t="s">
        <v>659</v>
      </c>
      <c r="G32" s="222" t="s">
        <v>349</v>
      </c>
      <c r="H32" s="223">
        <f>D38/C26</f>
        <v>929.36140547319349</v>
      </c>
      <c r="I32" s="223">
        <f>E38/$C$26</f>
        <v>808.43433506426356</v>
      </c>
      <c r="K32" s="649"/>
      <c r="L32" s="651"/>
      <c r="M32" s="225" t="s">
        <v>240</v>
      </c>
      <c r="N32" s="232">
        <v>6904.1331362134315</v>
      </c>
      <c r="O32" s="232">
        <v>6750.2798344794264</v>
      </c>
      <c r="P32" s="228">
        <f t="shared" ref="P32:P38" si="1">(N32-O32)/N32</f>
        <v>2.2284231589772881E-2</v>
      </c>
      <c r="R32" s="222" t="s">
        <v>349</v>
      </c>
      <c r="S32" s="229">
        <f>(O38*1000)/O26</f>
        <v>1302.5747308567686</v>
      </c>
      <c r="T32" s="201"/>
      <c r="U32" s="201"/>
      <c r="V32" s="201"/>
      <c r="W32" s="201"/>
      <c r="X32" s="201"/>
      <c r="Y32" s="201"/>
      <c r="Z32" s="201"/>
      <c r="AA32" s="201"/>
      <c r="AB32" s="201"/>
      <c r="AC32" s="201"/>
      <c r="AD32" s="201"/>
      <c r="AE32" s="201"/>
      <c r="AG32" s="230">
        <f>$H$37</f>
        <v>314788.03548833454</v>
      </c>
      <c r="AH32" s="230">
        <f>$H$37</f>
        <v>314788.03548833454</v>
      </c>
    </row>
    <row r="33" spans="2:34" ht="19.5" thickBot="1" x14ac:dyDescent="0.4">
      <c r="B33" s="231" t="s">
        <v>241</v>
      </c>
      <c r="C33" s="338">
        <f t="shared" si="0"/>
        <v>8104.8169920675109</v>
      </c>
      <c r="D33" s="628">
        <f>'Industrielle processer 2018'!N42</f>
        <v>7408.4888479262117</v>
      </c>
      <c r="E33" s="233">
        <f>'Industrielle processer 2018'!$N$42</f>
        <v>7408.4888479262117</v>
      </c>
      <c r="F33" s="264" t="s">
        <v>659</v>
      </c>
      <c r="G33" s="234" t="s">
        <v>350</v>
      </c>
      <c r="H33" s="630">
        <f>(H31*1000)/(C28/1000)</f>
        <v>43.494991470866104</v>
      </c>
      <c r="I33" s="684">
        <f>(I31*1000)/($C$28/1000)</f>
        <v>37.835490371446987</v>
      </c>
      <c r="K33" s="649"/>
      <c r="L33" s="651"/>
      <c r="M33" s="231" t="s">
        <v>241</v>
      </c>
      <c r="N33" s="208">
        <v>2343.8218034440442</v>
      </c>
      <c r="O33" s="232">
        <v>2142.4515457087405</v>
      </c>
      <c r="P33" s="228">
        <f t="shared" si="1"/>
        <v>8.5915344519539638E-2</v>
      </c>
      <c r="R33" s="234" t="s">
        <v>350</v>
      </c>
      <c r="S33" s="236">
        <f>(S31*1000)/(O28/1000)</f>
        <v>25.066353044970167</v>
      </c>
      <c r="T33" s="201"/>
      <c r="U33" s="201"/>
      <c r="V33" s="201"/>
      <c r="W33" s="201"/>
      <c r="X33" s="201"/>
      <c r="Y33" s="201"/>
      <c r="Z33" s="201"/>
      <c r="AA33" s="201"/>
      <c r="AB33" s="201"/>
      <c r="AC33" s="201"/>
      <c r="AD33" s="201"/>
      <c r="AE33" s="201"/>
      <c r="AG33" s="230"/>
      <c r="AH33" s="230"/>
    </row>
    <row r="34" spans="2:34" x14ac:dyDescent="0.2">
      <c r="B34" s="231" t="s">
        <v>110</v>
      </c>
      <c r="C34" s="338">
        <f>('E1990'!$F$82+'E1990'!$G$82+'E1990'!$H$82)*1000</f>
        <v>130526.74380488847</v>
      </c>
      <c r="D34" s="233">
        <f>('E2018'!$F$82+'E2018'!$G$82+'E2018'!$H$82)*1000</f>
        <v>151924.22756036842</v>
      </c>
      <c r="E34" s="233">
        <f>('E2020'!$F$82+'E2020'!$G$82+'E2020'!$H$82)*1000</f>
        <v>117158.78504313779</v>
      </c>
      <c r="F34" s="264" t="s">
        <v>660</v>
      </c>
      <c r="L34" s="651"/>
      <c r="M34" s="231" t="s">
        <v>110</v>
      </c>
      <c r="N34" s="208">
        <v>10954.560924084955</v>
      </c>
      <c r="O34" s="232">
        <v>13714.434587240145</v>
      </c>
      <c r="P34" s="228">
        <f t="shared" si="1"/>
        <v>-0.25193831886837803</v>
      </c>
      <c r="T34" s="201"/>
      <c r="U34" s="201"/>
      <c r="V34" s="201"/>
      <c r="W34" s="201"/>
      <c r="X34" s="201"/>
      <c r="Y34" s="201"/>
      <c r="Z34" s="201"/>
      <c r="AA34" s="201"/>
      <c r="AB34" s="201"/>
      <c r="AC34" s="201"/>
      <c r="AD34" s="201"/>
      <c r="AE34" s="201"/>
      <c r="AG34" s="230" t="s">
        <v>242</v>
      </c>
      <c r="AH34" s="230"/>
    </row>
    <row r="35" spans="2:34" x14ac:dyDescent="0.2">
      <c r="B35" s="231" t="s">
        <v>243</v>
      </c>
      <c r="C35" s="338">
        <f>('E1990'!$A$82+'E1990'!$B$82+'E1990'!$C$82+'E1990'!$D$82+'E1990'!$E$82+'E1990'!$I$82+'E1990'!$Z$82)*1000</f>
        <v>439654.17234296654</v>
      </c>
      <c r="D35" s="233">
        <f>('E2018'!$A$82+'E2018'!$B$82+'E2018'!$C$82+'E2018'!$D$82+'E2018'!$E$82+'E2018'!$I$82+'E2018'!$Z$82)*1000</f>
        <v>48699.160742317428</v>
      </c>
      <c r="E35" s="233">
        <f>('E2020'!$A$82+'E2020'!$B$82+'E2020'!$C$82+'E2020'!$D$82+'E2020'!$E$82+'E2020'!$I$82+'E2020'!$Z$82)*1000</f>
        <v>823.04334208538603</v>
      </c>
      <c r="F35" s="264" t="s">
        <v>660</v>
      </c>
      <c r="L35" s="651"/>
      <c r="M35" s="231" t="s">
        <v>243</v>
      </c>
      <c r="N35" s="208">
        <v>42207</v>
      </c>
      <c r="O35" s="232">
        <v>21242</v>
      </c>
      <c r="P35" s="228">
        <f t="shared" si="1"/>
        <v>0.49671855379439428</v>
      </c>
      <c r="T35" s="201"/>
      <c r="U35" s="201"/>
      <c r="V35" s="201"/>
      <c r="W35" s="201"/>
      <c r="X35" s="201"/>
      <c r="Y35" s="201"/>
      <c r="Z35" s="201"/>
      <c r="AA35" s="201"/>
      <c r="AB35" s="201"/>
      <c r="AC35" s="201"/>
      <c r="AD35" s="201"/>
      <c r="AE35" s="201"/>
      <c r="AG35" s="230">
        <f>N38*30%</f>
        <v>23081.999951832444</v>
      </c>
      <c r="AH35" s="230">
        <f>AG35</f>
        <v>23081.999951832444</v>
      </c>
    </row>
    <row r="36" spans="2:34" ht="19.5" customHeight="1" thickBot="1" x14ac:dyDescent="0.25">
      <c r="B36" s="231" t="s">
        <v>244</v>
      </c>
      <c r="C36" s="338">
        <f t="shared" ref="C36:C37" si="2">D36/(1-P36)</f>
        <v>146189.56859972127</v>
      </c>
      <c r="D36" s="628">
        <f>Arealanvendelse2018!P40</f>
        <v>149312.12226576798</v>
      </c>
      <c r="E36" s="233">
        <f>Arealanvendelse2018!$P$40</f>
        <v>149312.12226576798</v>
      </c>
      <c r="F36" s="264" t="s">
        <v>659</v>
      </c>
      <c r="G36" s="237" t="s">
        <v>245</v>
      </c>
      <c r="L36" s="651"/>
      <c r="M36" s="231" t="s">
        <v>244</v>
      </c>
      <c r="N36" s="208">
        <v>6456.8333328241424</v>
      </c>
      <c r="O36" s="232">
        <v>6594.7488406649736</v>
      </c>
      <c r="P36" s="228">
        <f t="shared" si="1"/>
        <v>-2.1359620224316457E-2</v>
      </c>
      <c r="T36" s="201"/>
      <c r="U36" s="201"/>
      <c r="V36" s="201"/>
      <c r="W36" s="201"/>
      <c r="X36" s="201"/>
      <c r="Y36" s="201"/>
      <c r="Z36" s="201"/>
      <c r="AA36" s="201"/>
      <c r="AB36" s="201"/>
      <c r="AC36" s="201"/>
      <c r="AD36" s="201"/>
      <c r="AE36" s="201"/>
      <c r="AG36" s="230"/>
      <c r="AH36" s="230"/>
    </row>
    <row r="37" spans="2:34" ht="15" thickBot="1" x14ac:dyDescent="0.25">
      <c r="B37" s="238" t="s">
        <v>246</v>
      </c>
      <c r="C37" s="629">
        <f t="shared" si="2"/>
        <v>14178.537059804121</v>
      </c>
      <c r="D37" s="630">
        <f>'Affald og spildevand 2018'!K26</f>
        <v>9198.7460788062872</v>
      </c>
      <c r="E37" s="235">
        <f>'Affald og spildevand 2018'!$K$26</f>
        <v>9198.7460788062872</v>
      </c>
      <c r="F37" s="264" t="s">
        <v>659</v>
      </c>
      <c r="G37" s="240" t="s">
        <v>601</v>
      </c>
      <c r="H37" s="220">
        <f>C38*30%</f>
        <v>314788.03548833454</v>
      </c>
      <c r="I37" s="241" t="s">
        <v>247</v>
      </c>
      <c r="L37" s="651"/>
      <c r="M37" s="231" t="s">
        <v>248</v>
      </c>
      <c r="N37" s="208">
        <v>1779.3438974585022</v>
      </c>
      <c r="O37" s="232">
        <v>1154.4020818619222</v>
      </c>
      <c r="P37" s="228">
        <f t="shared" si="1"/>
        <v>0.3512203663885356</v>
      </c>
      <c r="T37" s="201"/>
      <c r="U37" s="201"/>
      <c r="V37" s="201"/>
      <c r="W37" s="201"/>
      <c r="X37" s="201"/>
      <c r="Y37" s="201"/>
      <c r="Z37" s="201"/>
      <c r="AA37" s="201"/>
      <c r="AB37" s="201"/>
      <c r="AC37" s="201"/>
      <c r="AD37" s="201"/>
      <c r="AE37" s="201"/>
    </row>
    <row r="38" spans="2:34" ht="15.75" thickBot="1" x14ac:dyDescent="0.3">
      <c r="B38" s="242" t="s">
        <v>249</v>
      </c>
      <c r="C38" s="243">
        <f>SUM(C31:C37)</f>
        <v>1049293.4516277818</v>
      </c>
      <c r="D38" s="244">
        <f>SUM(D31:D37)</f>
        <v>635125.58450038044</v>
      </c>
      <c r="E38" s="244">
        <f>SUM(E31:E37)</f>
        <v>552484.02458291769</v>
      </c>
      <c r="G38" s="245" t="s">
        <v>250</v>
      </c>
      <c r="H38" s="208">
        <f>D38-H37</f>
        <v>320337.5490120459</v>
      </c>
      <c r="I38" s="246" t="s">
        <v>247</v>
      </c>
      <c r="L38" s="651"/>
      <c r="M38" s="247" t="s">
        <v>249</v>
      </c>
      <c r="N38" s="239">
        <f>SUM(N31:N37)</f>
        <v>76939.999839441487</v>
      </c>
      <c r="O38" s="248">
        <f>SUM(O31:O37)</f>
        <v>55924.87375207759</v>
      </c>
      <c r="P38" s="249">
        <f t="shared" si="1"/>
        <v>0.27313654966491158</v>
      </c>
      <c r="T38" s="201"/>
      <c r="U38" s="201"/>
      <c r="V38" s="201"/>
      <c r="W38" s="201"/>
      <c r="X38" s="201"/>
      <c r="Y38" s="201"/>
      <c r="Z38" s="201"/>
      <c r="AA38" s="201"/>
      <c r="AB38" s="201"/>
      <c r="AC38" s="201"/>
      <c r="AD38" s="201"/>
      <c r="AE38" s="201"/>
    </row>
    <row r="39" spans="2:34" x14ac:dyDescent="0.2">
      <c r="B39" s="250"/>
      <c r="C39" s="337"/>
      <c r="G39" s="245" t="s">
        <v>661</v>
      </c>
      <c r="H39" s="208">
        <f>E38-H37</f>
        <v>237695.98909458314</v>
      </c>
      <c r="I39" s="246" t="s">
        <v>247</v>
      </c>
      <c r="L39" s="651"/>
      <c r="T39" s="201"/>
      <c r="U39" s="201"/>
      <c r="V39" s="201"/>
      <c r="W39" s="201"/>
      <c r="X39" s="201"/>
      <c r="Y39" s="201"/>
      <c r="Z39" s="201"/>
      <c r="AA39" s="201"/>
      <c r="AB39" s="201"/>
      <c r="AC39" s="201"/>
      <c r="AD39" s="201"/>
      <c r="AE39" s="201"/>
    </row>
    <row r="40" spans="2:34" ht="15" thickBot="1" x14ac:dyDescent="0.25">
      <c r="B40" s="250"/>
      <c r="C40" s="206"/>
      <c r="D40" s="206"/>
      <c r="G40" s="251" t="s">
        <v>251</v>
      </c>
      <c r="H40" s="652">
        <f>H39/C25</f>
        <v>5.1008817591489759</v>
      </c>
      <c r="I40" s="252" t="s">
        <v>600</v>
      </c>
      <c r="L40" s="651"/>
      <c r="T40" s="201"/>
      <c r="U40" s="201"/>
      <c r="V40" s="201"/>
      <c r="W40" s="201"/>
      <c r="X40" s="201"/>
      <c r="Y40" s="201"/>
      <c r="Z40" s="201"/>
      <c r="AA40" s="201"/>
      <c r="AB40" s="201"/>
      <c r="AC40" s="201"/>
      <c r="AD40" s="201"/>
      <c r="AE40" s="201"/>
    </row>
    <row r="41" spans="2:34" x14ac:dyDescent="0.2">
      <c r="L41" s="651"/>
      <c r="T41" s="201"/>
      <c r="U41" s="201"/>
      <c r="V41" s="201"/>
      <c r="W41" s="201"/>
      <c r="X41" s="201"/>
      <c r="Y41" s="201"/>
      <c r="Z41" s="201"/>
      <c r="AA41" s="201"/>
      <c r="AB41" s="201"/>
      <c r="AC41" s="201"/>
      <c r="AD41" s="201"/>
      <c r="AE41" s="201"/>
    </row>
    <row r="42" spans="2:34" x14ac:dyDescent="0.2">
      <c r="L42" s="651"/>
      <c r="T42" s="201"/>
      <c r="U42" s="201"/>
      <c r="V42" s="201"/>
      <c r="W42" s="201"/>
      <c r="X42" s="201"/>
      <c r="Y42" s="201"/>
      <c r="Z42" s="201"/>
      <c r="AA42" s="201"/>
      <c r="AB42" s="201"/>
      <c r="AC42" s="201"/>
      <c r="AD42" s="201"/>
      <c r="AE42" s="201"/>
    </row>
    <row r="43" spans="2:34" x14ac:dyDescent="0.2">
      <c r="L43" s="651"/>
      <c r="T43" s="201"/>
      <c r="U43" s="201"/>
      <c r="V43" s="201"/>
      <c r="W43" s="201"/>
      <c r="X43" s="201"/>
      <c r="Y43" s="201"/>
      <c r="Z43" s="201"/>
      <c r="AA43" s="201"/>
      <c r="AB43" s="201"/>
      <c r="AC43" s="201"/>
      <c r="AD43" s="201"/>
      <c r="AE43" s="201"/>
    </row>
    <row r="44" spans="2:34" x14ac:dyDescent="0.2">
      <c r="L44" s="651"/>
      <c r="T44" s="201"/>
      <c r="U44" s="201"/>
      <c r="V44" s="201"/>
      <c r="W44" s="201"/>
      <c r="X44" s="201"/>
      <c r="Y44" s="201"/>
      <c r="Z44" s="201"/>
      <c r="AA44" s="201"/>
      <c r="AB44" s="201"/>
      <c r="AC44" s="201"/>
      <c r="AD44" s="201"/>
      <c r="AE44" s="201"/>
    </row>
    <row r="45" spans="2:34" x14ac:dyDescent="0.2">
      <c r="L45" s="651"/>
      <c r="T45" s="201"/>
      <c r="U45" s="201"/>
      <c r="V45" s="201"/>
      <c r="W45" s="201"/>
      <c r="X45" s="201"/>
      <c r="Y45" s="201"/>
      <c r="Z45" s="201"/>
      <c r="AA45" s="201"/>
      <c r="AB45" s="201"/>
      <c r="AC45" s="201"/>
      <c r="AD45" s="201"/>
      <c r="AE45" s="201"/>
    </row>
    <row r="46" spans="2:34" x14ac:dyDescent="0.2">
      <c r="L46" s="651"/>
      <c r="T46" s="201"/>
      <c r="U46" s="201"/>
      <c r="V46" s="201"/>
      <c r="W46" s="201"/>
      <c r="X46" s="201"/>
      <c r="Y46" s="201"/>
      <c r="Z46" s="201"/>
      <c r="AA46" s="201"/>
      <c r="AB46" s="201"/>
      <c r="AC46" s="201"/>
      <c r="AD46" s="201"/>
      <c r="AE46" s="201"/>
    </row>
    <row r="47" spans="2:34" ht="16.5" x14ac:dyDescent="0.3">
      <c r="B47" s="631" t="s">
        <v>585</v>
      </c>
      <c r="C47" s="230"/>
      <c r="D47" s="230"/>
      <c r="E47" s="196"/>
      <c r="F47" s="196"/>
      <c r="G47" s="196"/>
      <c r="H47" s="196"/>
      <c r="I47" s="196"/>
      <c r="L47" s="651"/>
      <c r="M47" s="631" t="s">
        <v>586</v>
      </c>
      <c r="N47" s="230"/>
      <c r="O47" s="196"/>
      <c r="P47" s="196"/>
      <c r="Q47" s="196"/>
      <c r="R47" s="196"/>
      <c r="S47" s="196"/>
      <c r="W47" s="201"/>
      <c r="X47" s="201"/>
      <c r="Y47" s="201"/>
      <c r="Z47" s="201"/>
      <c r="AA47" s="201"/>
      <c r="AB47" s="201"/>
      <c r="AC47" s="201"/>
      <c r="AD47" s="201"/>
      <c r="AE47" s="201"/>
    </row>
    <row r="48" spans="2:34" x14ac:dyDescent="0.2">
      <c r="B48" s="250"/>
      <c r="C48" s="206"/>
      <c r="D48" s="206"/>
      <c r="L48" s="651"/>
      <c r="T48" s="201"/>
      <c r="U48" s="201"/>
      <c r="V48" s="201"/>
      <c r="W48" s="201"/>
      <c r="X48" s="201"/>
      <c r="Y48" s="201"/>
      <c r="Z48" s="201"/>
      <c r="AA48" s="201"/>
      <c r="AB48" s="201"/>
      <c r="AC48" s="201"/>
      <c r="AD48" s="201"/>
      <c r="AE48" s="201"/>
    </row>
    <row r="49" spans="2:31" x14ac:dyDescent="0.2">
      <c r="B49" s="250"/>
      <c r="C49" s="206"/>
      <c r="D49" s="206"/>
      <c r="L49" s="651"/>
      <c r="T49" s="201"/>
      <c r="U49" s="201"/>
      <c r="V49" s="201"/>
      <c r="W49" s="201"/>
      <c r="X49" s="201"/>
      <c r="Y49" s="201"/>
      <c r="Z49" s="201"/>
      <c r="AA49" s="201"/>
      <c r="AB49" s="201"/>
      <c r="AC49" s="201"/>
      <c r="AD49" s="201"/>
      <c r="AE49" s="201"/>
    </row>
    <row r="50" spans="2:31" x14ac:dyDescent="0.2">
      <c r="B50" s="250"/>
      <c r="C50" s="206"/>
      <c r="D50" s="206"/>
      <c r="L50" s="651"/>
      <c r="T50" s="201"/>
      <c r="U50" s="201"/>
      <c r="V50" s="201"/>
      <c r="W50" s="201"/>
      <c r="X50" s="201"/>
      <c r="Y50" s="201"/>
      <c r="Z50" s="201"/>
      <c r="AA50" s="201"/>
      <c r="AB50" s="201"/>
      <c r="AC50" s="201"/>
      <c r="AD50" s="201"/>
      <c r="AE50" s="201"/>
    </row>
    <row r="51" spans="2:31" x14ac:dyDescent="0.2">
      <c r="B51" s="250"/>
      <c r="C51" s="206"/>
      <c r="D51" s="206"/>
      <c r="L51" s="651"/>
      <c r="T51" s="201"/>
      <c r="U51" s="201"/>
      <c r="V51" s="201"/>
      <c r="W51" s="201"/>
      <c r="X51" s="201"/>
      <c r="Y51" s="201"/>
      <c r="Z51" s="201"/>
      <c r="AA51" s="201"/>
      <c r="AB51" s="201"/>
      <c r="AC51" s="201"/>
      <c r="AD51" s="201"/>
      <c r="AE51" s="201"/>
    </row>
    <row r="52" spans="2:31" x14ac:dyDescent="0.2">
      <c r="B52" s="250"/>
      <c r="C52" s="206"/>
      <c r="D52" s="206"/>
      <c r="L52" s="651"/>
      <c r="T52" s="201"/>
      <c r="U52" s="201"/>
      <c r="V52" s="201"/>
      <c r="W52" s="201"/>
      <c r="X52" s="201"/>
      <c r="Y52" s="201"/>
      <c r="Z52" s="201"/>
      <c r="AA52" s="201"/>
      <c r="AB52" s="201"/>
      <c r="AC52" s="201"/>
      <c r="AD52" s="201"/>
      <c r="AE52" s="201"/>
    </row>
    <row r="53" spans="2:31" x14ac:dyDescent="0.2">
      <c r="B53" s="250"/>
      <c r="C53" s="206"/>
      <c r="D53" s="206"/>
      <c r="L53" s="651"/>
      <c r="T53" s="201"/>
      <c r="U53" s="201"/>
      <c r="V53" s="201"/>
      <c r="W53" s="201"/>
      <c r="X53" s="201"/>
      <c r="Y53" s="201"/>
      <c r="Z53" s="201"/>
      <c r="AA53" s="201"/>
      <c r="AB53" s="201"/>
      <c r="AC53" s="201"/>
      <c r="AD53" s="201"/>
      <c r="AE53" s="201"/>
    </row>
    <row r="54" spans="2:31" x14ac:dyDescent="0.2">
      <c r="B54" s="250"/>
      <c r="C54" s="206"/>
      <c r="D54" s="206"/>
      <c r="L54" s="651"/>
      <c r="T54" s="201"/>
      <c r="U54" s="201"/>
      <c r="V54" s="201"/>
      <c r="W54" s="201"/>
      <c r="X54" s="201"/>
      <c r="Y54" s="201"/>
      <c r="Z54" s="201"/>
      <c r="AA54" s="201"/>
      <c r="AB54" s="201"/>
      <c r="AC54" s="201"/>
      <c r="AD54" s="201"/>
      <c r="AE54" s="201"/>
    </row>
    <row r="55" spans="2:31" x14ac:dyDescent="0.2">
      <c r="B55" s="250"/>
      <c r="C55" s="206"/>
      <c r="D55" s="206"/>
      <c r="L55" s="651"/>
      <c r="T55" s="201"/>
      <c r="U55" s="201"/>
      <c r="V55" s="201"/>
      <c r="W55" s="201"/>
      <c r="X55" s="201"/>
      <c r="Y55" s="201"/>
      <c r="Z55" s="201"/>
      <c r="AA55" s="201"/>
      <c r="AB55" s="201"/>
      <c r="AC55" s="201"/>
      <c r="AD55" s="201"/>
      <c r="AE55" s="201"/>
    </row>
    <row r="56" spans="2:31" x14ac:dyDescent="0.2">
      <c r="B56" s="250"/>
      <c r="C56" s="206"/>
      <c r="D56" s="206"/>
      <c r="L56" s="651"/>
      <c r="T56" s="201"/>
      <c r="U56" s="201"/>
      <c r="V56" s="201"/>
      <c r="W56" s="201"/>
      <c r="X56" s="201"/>
      <c r="Y56" s="201"/>
      <c r="Z56" s="201"/>
      <c r="AA56" s="201"/>
      <c r="AB56" s="201"/>
      <c r="AC56" s="201"/>
      <c r="AD56" s="201"/>
      <c r="AE56" s="201"/>
    </row>
    <row r="57" spans="2:31" x14ac:dyDescent="0.2">
      <c r="B57" s="250"/>
      <c r="C57" s="206"/>
      <c r="D57" s="206"/>
      <c r="L57" s="651"/>
      <c r="T57" s="201"/>
      <c r="U57" s="201"/>
      <c r="V57" s="201"/>
      <c r="W57" s="201"/>
      <c r="X57" s="201"/>
      <c r="Y57" s="201"/>
      <c r="Z57" s="201"/>
      <c r="AA57" s="201"/>
      <c r="AB57" s="201"/>
      <c r="AC57" s="201"/>
      <c r="AD57" s="201"/>
      <c r="AE57" s="201"/>
    </row>
    <row r="58" spans="2:31" x14ac:dyDescent="0.2">
      <c r="B58" s="250"/>
      <c r="C58" s="206"/>
      <c r="D58" s="206"/>
      <c r="L58" s="651"/>
      <c r="T58" s="201"/>
      <c r="U58" s="201"/>
      <c r="V58" s="201"/>
      <c r="W58" s="201"/>
      <c r="X58" s="201"/>
      <c r="Y58" s="201"/>
      <c r="Z58" s="201"/>
      <c r="AA58" s="201"/>
      <c r="AB58" s="201"/>
      <c r="AC58" s="201"/>
      <c r="AD58" s="201"/>
      <c r="AE58" s="201"/>
    </row>
    <row r="59" spans="2:31" x14ac:dyDescent="0.2">
      <c r="B59" s="250"/>
      <c r="C59" s="206"/>
      <c r="D59" s="206"/>
      <c r="L59" s="651"/>
      <c r="T59" s="201"/>
      <c r="U59" s="201"/>
      <c r="V59" s="201"/>
      <c r="W59" s="201"/>
      <c r="X59" s="201"/>
      <c r="Y59" s="201"/>
      <c r="Z59" s="201"/>
      <c r="AA59" s="201"/>
      <c r="AB59" s="201"/>
      <c r="AC59" s="201"/>
      <c r="AD59" s="201"/>
      <c r="AE59" s="201"/>
    </row>
    <row r="60" spans="2:31" x14ac:dyDescent="0.2">
      <c r="B60" s="250"/>
      <c r="C60" s="206"/>
      <c r="D60" s="206"/>
      <c r="L60" s="651"/>
      <c r="T60" s="201"/>
      <c r="U60" s="201"/>
      <c r="V60" s="201"/>
      <c r="W60" s="201"/>
      <c r="X60" s="201"/>
      <c r="Y60" s="201"/>
      <c r="Z60" s="201"/>
      <c r="AA60" s="201"/>
      <c r="AB60" s="201"/>
      <c r="AC60" s="201"/>
      <c r="AD60" s="201"/>
      <c r="AE60" s="201"/>
    </row>
    <row r="61" spans="2:31" x14ac:dyDescent="0.2">
      <c r="B61" s="250"/>
      <c r="C61" s="206"/>
      <c r="D61" s="206"/>
      <c r="L61" s="651"/>
      <c r="T61" s="201"/>
      <c r="U61" s="201"/>
      <c r="V61" s="201"/>
      <c r="W61" s="201"/>
      <c r="X61" s="201"/>
      <c r="Y61" s="201"/>
      <c r="Z61" s="201"/>
      <c r="AA61" s="201"/>
      <c r="AB61" s="201"/>
      <c r="AC61" s="201"/>
      <c r="AD61" s="201"/>
      <c r="AE61" s="201"/>
    </row>
    <row r="62" spans="2:31" x14ac:dyDescent="0.2">
      <c r="L62" s="651"/>
      <c r="T62" s="201"/>
      <c r="U62" s="201"/>
      <c r="V62" s="201"/>
      <c r="W62" s="201"/>
      <c r="X62" s="201"/>
      <c r="Y62" s="201"/>
      <c r="Z62" s="201"/>
      <c r="AA62" s="201"/>
      <c r="AB62" s="201"/>
      <c r="AC62" s="201"/>
      <c r="AD62" s="201"/>
      <c r="AE62" s="201"/>
    </row>
    <row r="63" spans="2:31" x14ac:dyDescent="0.2">
      <c r="L63" s="651"/>
      <c r="T63" s="201"/>
      <c r="U63" s="201"/>
      <c r="V63" s="201"/>
      <c r="W63" s="201"/>
      <c r="X63" s="201"/>
      <c r="Y63" s="201"/>
      <c r="Z63" s="201"/>
      <c r="AA63" s="201"/>
      <c r="AB63" s="201"/>
      <c r="AC63" s="201"/>
      <c r="AD63" s="201"/>
      <c r="AE63" s="201"/>
    </row>
    <row r="64" spans="2:31" x14ac:dyDescent="0.2">
      <c r="L64" s="651"/>
      <c r="T64" s="201"/>
      <c r="U64" s="201"/>
      <c r="V64" s="201"/>
      <c r="W64" s="201"/>
      <c r="X64" s="201"/>
      <c r="Y64" s="201"/>
      <c r="Z64" s="201"/>
      <c r="AA64" s="201"/>
      <c r="AB64" s="201"/>
      <c r="AC64" s="201"/>
      <c r="AD64" s="201"/>
      <c r="AE64" s="201"/>
    </row>
    <row r="65" spans="2:31" x14ac:dyDescent="0.2">
      <c r="L65" s="651"/>
      <c r="T65" s="201"/>
      <c r="U65" s="201"/>
      <c r="V65" s="201"/>
      <c r="W65" s="201"/>
      <c r="X65" s="201"/>
      <c r="Y65" s="201"/>
      <c r="Z65" s="201"/>
      <c r="AA65" s="201"/>
      <c r="AB65" s="201"/>
      <c r="AC65" s="201"/>
      <c r="AD65" s="201"/>
      <c r="AE65" s="201"/>
    </row>
    <row r="66" spans="2:31" x14ac:dyDescent="0.2">
      <c r="L66" s="651"/>
      <c r="T66" s="201"/>
      <c r="U66" s="201"/>
      <c r="V66" s="201"/>
      <c r="W66" s="201"/>
      <c r="X66" s="201"/>
      <c r="Y66" s="201"/>
      <c r="Z66" s="201"/>
      <c r="AA66" s="201"/>
      <c r="AB66" s="201"/>
      <c r="AC66" s="201"/>
      <c r="AD66" s="201"/>
      <c r="AE66" s="201"/>
    </row>
    <row r="67" spans="2:31" x14ac:dyDescent="0.2">
      <c r="L67" s="651"/>
      <c r="T67" s="201"/>
      <c r="U67" s="201"/>
      <c r="V67" s="201"/>
      <c r="W67" s="201"/>
      <c r="X67" s="201"/>
      <c r="Y67" s="201"/>
      <c r="Z67" s="201"/>
      <c r="AA67" s="201"/>
      <c r="AB67" s="201"/>
      <c r="AC67" s="201"/>
      <c r="AD67" s="201"/>
      <c r="AE67" s="201"/>
    </row>
    <row r="68" spans="2:31" x14ac:dyDescent="0.2">
      <c r="L68" s="651"/>
      <c r="T68" s="253"/>
      <c r="U68" s="201"/>
      <c r="V68" s="201"/>
      <c r="W68" s="201"/>
      <c r="X68" s="201"/>
      <c r="Y68" s="201"/>
      <c r="Z68" s="201"/>
      <c r="AA68" s="201"/>
      <c r="AB68" s="201"/>
      <c r="AC68" s="201"/>
      <c r="AD68" s="201"/>
      <c r="AE68" s="201"/>
    </row>
    <row r="69" spans="2:31" x14ac:dyDescent="0.2">
      <c r="L69" s="651"/>
      <c r="T69" s="206"/>
      <c r="U69" s="201"/>
      <c r="V69" s="201"/>
      <c r="W69" s="201"/>
      <c r="X69" s="201"/>
      <c r="Y69" s="201"/>
      <c r="Z69" s="201"/>
      <c r="AA69" s="201"/>
      <c r="AB69" s="201"/>
      <c r="AC69" s="201"/>
      <c r="AD69" s="201"/>
      <c r="AE69" s="201"/>
    </row>
    <row r="70" spans="2:31" x14ac:dyDescent="0.2">
      <c r="L70" s="651"/>
      <c r="T70" s="201"/>
      <c r="U70" s="201"/>
      <c r="V70" s="201"/>
      <c r="W70" s="201"/>
      <c r="X70" s="201"/>
      <c r="Y70" s="201"/>
      <c r="Z70" s="201"/>
      <c r="AA70" s="201"/>
      <c r="AB70" s="201"/>
      <c r="AC70" s="201"/>
      <c r="AD70" s="201"/>
      <c r="AE70" s="201"/>
    </row>
    <row r="71" spans="2:31" x14ac:dyDescent="0.2">
      <c r="L71" s="651"/>
      <c r="T71" s="201"/>
      <c r="U71" s="201"/>
      <c r="V71" s="201"/>
      <c r="W71" s="201"/>
      <c r="X71" s="201"/>
      <c r="Y71" s="201"/>
      <c r="Z71" s="201"/>
      <c r="AA71" s="201"/>
      <c r="AB71" s="201"/>
      <c r="AC71" s="201"/>
      <c r="AD71" s="201"/>
      <c r="AE71" s="201"/>
    </row>
    <row r="72" spans="2:31" x14ac:dyDescent="0.2">
      <c r="L72" s="651"/>
      <c r="T72" s="201"/>
      <c r="U72" s="201"/>
      <c r="V72" s="201"/>
      <c r="W72" s="201"/>
      <c r="X72" s="201"/>
      <c r="Y72" s="201"/>
      <c r="Z72" s="201"/>
      <c r="AA72" s="201"/>
      <c r="AB72" s="201"/>
      <c r="AC72" s="201"/>
      <c r="AD72" s="201"/>
      <c r="AE72" s="201"/>
    </row>
    <row r="73" spans="2:31" x14ac:dyDescent="0.2">
      <c r="L73" s="651"/>
      <c r="T73" s="201"/>
      <c r="U73" s="201"/>
      <c r="V73" s="201"/>
      <c r="W73" s="201"/>
      <c r="X73" s="201"/>
      <c r="Y73" s="201"/>
      <c r="Z73" s="201"/>
      <c r="AA73" s="201"/>
      <c r="AB73" s="201"/>
      <c r="AC73" s="201"/>
      <c r="AD73" s="201"/>
      <c r="AE73" s="201"/>
    </row>
    <row r="74" spans="2:31" x14ac:dyDescent="0.2">
      <c r="L74" s="651"/>
      <c r="N74" s="254"/>
      <c r="T74" s="201"/>
      <c r="U74" s="201"/>
      <c r="V74" s="201"/>
      <c r="W74" s="201"/>
      <c r="X74" s="201"/>
      <c r="Y74" s="201"/>
      <c r="Z74" s="201"/>
      <c r="AA74" s="201"/>
      <c r="AB74" s="201"/>
      <c r="AC74" s="201"/>
      <c r="AD74" s="201"/>
      <c r="AE74" s="201"/>
    </row>
    <row r="75" spans="2:31" x14ac:dyDescent="0.2">
      <c r="L75" s="651"/>
      <c r="N75" s="254"/>
      <c r="T75" s="201"/>
      <c r="U75" s="201"/>
      <c r="V75" s="201"/>
      <c r="W75" s="201"/>
      <c r="X75" s="201"/>
      <c r="Y75" s="201"/>
      <c r="Z75" s="201"/>
      <c r="AA75" s="201"/>
      <c r="AB75" s="201"/>
      <c r="AC75" s="201"/>
      <c r="AD75" s="201"/>
      <c r="AE75" s="201"/>
    </row>
    <row r="76" spans="2:31" x14ac:dyDescent="0.2">
      <c r="L76" s="651"/>
      <c r="N76" s="254"/>
      <c r="T76" s="201"/>
      <c r="U76" s="201"/>
      <c r="V76" s="201"/>
      <c r="W76" s="201"/>
      <c r="X76" s="201"/>
      <c r="Y76" s="201"/>
      <c r="Z76" s="201"/>
      <c r="AA76" s="201"/>
      <c r="AB76" s="201"/>
      <c r="AC76" s="201"/>
      <c r="AD76" s="201"/>
      <c r="AE76" s="201"/>
    </row>
    <row r="77" spans="2:31" ht="16.5" x14ac:dyDescent="0.3">
      <c r="B77" s="632" t="s">
        <v>584</v>
      </c>
      <c r="C77" s="196"/>
      <c r="D77" s="196"/>
      <c r="E77" s="196"/>
      <c r="F77" s="196"/>
      <c r="G77" s="196"/>
      <c r="H77" s="196"/>
      <c r="I77" s="196"/>
      <c r="L77" s="651"/>
      <c r="M77" s="632" t="s">
        <v>587</v>
      </c>
      <c r="N77" s="196"/>
      <c r="O77" s="196"/>
      <c r="P77" s="196"/>
      <c r="Q77" s="196"/>
      <c r="R77" s="196"/>
      <c r="S77" s="196"/>
      <c r="W77" s="201"/>
      <c r="X77" s="201"/>
      <c r="Y77" s="201"/>
      <c r="Z77" s="201"/>
      <c r="AA77" s="201"/>
      <c r="AB77" s="201"/>
      <c r="AC77" s="201"/>
      <c r="AD77" s="201"/>
      <c r="AE77" s="201"/>
    </row>
    <row r="78" spans="2:31" x14ac:dyDescent="0.2">
      <c r="L78" s="651"/>
      <c r="T78" s="201"/>
      <c r="U78" s="201"/>
      <c r="V78" s="201"/>
      <c r="W78" s="201"/>
      <c r="X78" s="201"/>
      <c r="Y78" s="201"/>
      <c r="Z78" s="201"/>
      <c r="AA78" s="201"/>
      <c r="AB78" s="201"/>
      <c r="AC78" s="201"/>
      <c r="AD78" s="201"/>
      <c r="AE78" s="201"/>
    </row>
    <row r="79" spans="2:31" x14ac:dyDescent="0.2">
      <c r="L79" s="651"/>
      <c r="T79" s="201"/>
      <c r="U79" s="201"/>
      <c r="V79" s="201"/>
      <c r="W79" s="201"/>
      <c r="X79" s="201"/>
      <c r="Y79" s="201"/>
      <c r="Z79" s="201"/>
      <c r="AA79" s="201"/>
      <c r="AB79" s="201"/>
      <c r="AC79" s="201"/>
      <c r="AD79" s="201"/>
      <c r="AE79" s="201"/>
    </row>
    <row r="80" spans="2:31" x14ac:dyDescent="0.2">
      <c r="L80" s="651"/>
      <c r="T80" s="201"/>
      <c r="U80" s="201"/>
      <c r="V80" s="201"/>
      <c r="W80" s="201"/>
      <c r="X80" s="201"/>
      <c r="Y80" s="201"/>
      <c r="Z80" s="201"/>
      <c r="AA80" s="201"/>
      <c r="AB80" s="201"/>
      <c r="AC80" s="201"/>
      <c r="AD80" s="201"/>
      <c r="AE80" s="201"/>
    </row>
    <row r="81" spans="12:31" x14ac:dyDescent="0.2">
      <c r="L81" s="651"/>
      <c r="T81" s="201"/>
      <c r="U81" s="201"/>
      <c r="V81" s="201"/>
      <c r="W81" s="201"/>
      <c r="X81" s="201"/>
      <c r="Y81" s="201"/>
      <c r="Z81" s="201"/>
      <c r="AA81" s="201"/>
      <c r="AB81" s="201"/>
      <c r="AC81" s="201"/>
      <c r="AD81" s="201"/>
      <c r="AE81" s="201"/>
    </row>
    <row r="82" spans="12:31" x14ac:dyDescent="0.2">
      <c r="L82" s="651"/>
      <c r="T82" s="201"/>
      <c r="U82" s="201"/>
      <c r="V82" s="201"/>
      <c r="W82" s="201"/>
      <c r="X82" s="201"/>
      <c r="Y82" s="201"/>
      <c r="Z82" s="201"/>
      <c r="AA82" s="201"/>
      <c r="AB82" s="201"/>
      <c r="AC82" s="201"/>
      <c r="AD82" s="201"/>
      <c r="AE82" s="201"/>
    </row>
    <row r="83" spans="12:31" x14ac:dyDescent="0.2">
      <c r="L83" s="651"/>
      <c r="T83" s="201"/>
      <c r="U83" s="201"/>
      <c r="V83" s="201"/>
      <c r="W83" s="201"/>
      <c r="X83" s="201"/>
      <c r="Y83" s="201"/>
      <c r="Z83" s="201"/>
      <c r="AA83" s="201"/>
      <c r="AB83" s="201"/>
      <c r="AC83" s="201"/>
      <c r="AD83" s="201"/>
      <c r="AE83" s="201"/>
    </row>
    <row r="84" spans="12:31" x14ac:dyDescent="0.2">
      <c r="L84" s="651"/>
      <c r="T84" s="201"/>
      <c r="U84" s="201"/>
      <c r="V84" s="201"/>
      <c r="W84" s="201"/>
      <c r="X84" s="201"/>
      <c r="Y84" s="201"/>
      <c r="Z84" s="201"/>
      <c r="AA84" s="201"/>
      <c r="AB84" s="201"/>
      <c r="AC84" s="201"/>
      <c r="AD84" s="201"/>
      <c r="AE84" s="201"/>
    </row>
    <row r="85" spans="12:31" x14ac:dyDescent="0.2">
      <c r="L85" s="651"/>
      <c r="T85" s="201"/>
      <c r="U85" s="201"/>
      <c r="V85" s="201"/>
      <c r="W85" s="201"/>
      <c r="X85" s="201"/>
      <c r="Y85" s="201"/>
      <c r="Z85" s="201"/>
      <c r="AA85" s="201"/>
      <c r="AB85" s="201"/>
      <c r="AC85" s="201"/>
      <c r="AD85" s="201"/>
      <c r="AE85" s="201"/>
    </row>
    <row r="86" spans="12:31" x14ac:dyDescent="0.2">
      <c r="L86" s="651"/>
      <c r="T86" s="201"/>
      <c r="U86" s="201"/>
      <c r="V86" s="201"/>
      <c r="W86" s="201"/>
      <c r="X86" s="201"/>
      <c r="Y86" s="201"/>
      <c r="Z86" s="201"/>
      <c r="AA86" s="201"/>
      <c r="AB86" s="201"/>
      <c r="AC86" s="201"/>
      <c r="AD86" s="201"/>
      <c r="AE86" s="201"/>
    </row>
    <row r="87" spans="12:31" x14ac:dyDescent="0.2">
      <c r="L87" s="651"/>
      <c r="T87" s="201"/>
      <c r="U87" s="201"/>
      <c r="V87" s="201"/>
      <c r="W87" s="201"/>
      <c r="X87" s="201"/>
      <c r="Y87" s="201"/>
      <c r="Z87" s="201"/>
      <c r="AA87" s="201"/>
      <c r="AB87" s="201"/>
      <c r="AC87" s="201"/>
      <c r="AD87" s="201"/>
      <c r="AE87" s="201"/>
    </row>
    <row r="88" spans="12:31" x14ac:dyDescent="0.2">
      <c r="L88" s="651"/>
      <c r="T88" s="201"/>
      <c r="U88" s="201"/>
      <c r="V88" s="201"/>
      <c r="W88" s="201"/>
      <c r="X88" s="201"/>
      <c r="Y88" s="201"/>
      <c r="Z88" s="201"/>
      <c r="AA88" s="201"/>
      <c r="AB88" s="201"/>
      <c r="AC88" s="201"/>
      <c r="AD88" s="201"/>
      <c r="AE88" s="201"/>
    </row>
    <row r="89" spans="12:31" x14ac:dyDescent="0.2">
      <c r="L89" s="651"/>
      <c r="T89" s="201"/>
      <c r="U89" s="201"/>
      <c r="V89" s="201"/>
      <c r="W89" s="201"/>
      <c r="X89" s="201"/>
      <c r="Y89" s="201"/>
      <c r="Z89" s="201"/>
      <c r="AA89" s="201"/>
      <c r="AB89" s="201"/>
      <c r="AC89" s="201"/>
      <c r="AD89" s="201"/>
      <c r="AE89" s="201"/>
    </row>
    <row r="90" spans="12:31" x14ac:dyDescent="0.2">
      <c r="L90" s="651"/>
      <c r="T90" s="201"/>
      <c r="U90" s="201"/>
      <c r="V90" s="201"/>
      <c r="W90" s="201"/>
      <c r="X90" s="201"/>
      <c r="Y90" s="201"/>
      <c r="Z90" s="201"/>
      <c r="AA90" s="201"/>
      <c r="AB90" s="201"/>
      <c r="AC90" s="201"/>
      <c r="AD90" s="201"/>
      <c r="AE90" s="201"/>
    </row>
    <row r="91" spans="12:31" x14ac:dyDescent="0.2">
      <c r="L91" s="651"/>
      <c r="T91" s="201"/>
      <c r="U91" s="201"/>
      <c r="V91" s="201"/>
      <c r="W91" s="201"/>
      <c r="X91" s="201"/>
      <c r="Y91" s="201"/>
      <c r="Z91" s="201"/>
      <c r="AA91" s="201"/>
      <c r="AB91" s="201"/>
      <c r="AC91" s="201"/>
      <c r="AD91" s="201"/>
      <c r="AE91" s="201"/>
    </row>
    <row r="92" spans="12:31" x14ac:dyDescent="0.2">
      <c r="L92" s="651"/>
      <c r="T92" s="201"/>
      <c r="U92" s="201"/>
      <c r="V92" s="201"/>
      <c r="W92" s="201"/>
      <c r="X92" s="201"/>
      <c r="Y92" s="201"/>
      <c r="Z92" s="201"/>
      <c r="AA92" s="201"/>
      <c r="AB92" s="201"/>
      <c r="AC92" s="201"/>
      <c r="AD92" s="201"/>
      <c r="AE92" s="201"/>
    </row>
    <row r="93" spans="12:31" x14ac:dyDescent="0.2">
      <c r="L93" s="651"/>
      <c r="T93" s="201"/>
      <c r="U93" s="201"/>
      <c r="V93" s="201"/>
      <c r="W93" s="201"/>
      <c r="X93" s="201"/>
      <c r="Y93" s="201"/>
      <c r="Z93" s="201"/>
      <c r="AA93" s="201"/>
      <c r="AB93" s="201"/>
      <c r="AC93" s="201"/>
      <c r="AD93" s="201"/>
      <c r="AE93" s="201"/>
    </row>
    <row r="94" spans="12:31" x14ac:dyDescent="0.2">
      <c r="L94" s="651"/>
      <c r="T94" s="201"/>
      <c r="U94" s="201"/>
      <c r="V94" s="201"/>
      <c r="W94" s="201"/>
      <c r="X94" s="201"/>
      <c r="Y94" s="201"/>
      <c r="Z94" s="201"/>
      <c r="AA94" s="201"/>
      <c r="AB94" s="201"/>
      <c r="AC94" s="201"/>
      <c r="AD94" s="201"/>
      <c r="AE94" s="201"/>
    </row>
    <row r="95" spans="12:31" x14ac:dyDescent="0.2">
      <c r="L95" s="651"/>
      <c r="T95" s="201"/>
      <c r="U95" s="201"/>
      <c r="V95" s="201"/>
      <c r="W95" s="201"/>
      <c r="X95" s="201"/>
      <c r="Y95" s="201"/>
      <c r="Z95" s="201"/>
      <c r="AA95" s="201"/>
      <c r="AB95" s="201"/>
      <c r="AC95" s="201"/>
      <c r="AD95" s="201"/>
      <c r="AE95" s="201"/>
    </row>
    <row r="96" spans="12:31" x14ac:dyDescent="0.2">
      <c r="L96" s="651"/>
      <c r="T96" s="201"/>
      <c r="U96" s="201"/>
      <c r="V96" s="201"/>
      <c r="W96" s="201"/>
      <c r="X96" s="201"/>
      <c r="Y96" s="201"/>
      <c r="Z96" s="201"/>
      <c r="AA96" s="201"/>
      <c r="AB96" s="201"/>
      <c r="AC96" s="201"/>
      <c r="AD96" s="201"/>
      <c r="AE96" s="201"/>
    </row>
    <row r="97" spans="2:31" x14ac:dyDescent="0.2">
      <c r="L97" s="651"/>
      <c r="T97" s="201"/>
      <c r="U97" s="201"/>
      <c r="V97" s="201"/>
      <c r="W97" s="201"/>
      <c r="X97" s="201"/>
      <c r="Y97" s="201"/>
      <c r="Z97" s="201"/>
      <c r="AA97" s="201"/>
      <c r="AB97" s="201"/>
      <c r="AC97" s="201"/>
      <c r="AD97" s="201"/>
      <c r="AE97" s="201"/>
    </row>
    <row r="98" spans="2:31" x14ac:dyDescent="0.2">
      <c r="L98" s="651"/>
      <c r="T98" s="201"/>
      <c r="U98" s="201"/>
      <c r="V98" s="201"/>
      <c r="W98" s="201"/>
      <c r="X98" s="201"/>
      <c r="Y98" s="201"/>
      <c r="Z98" s="201"/>
      <c r="AA98" s="201"/>
      <c r="AB98" s="201"/>
      <c r="AC98" s="201"/>
      <c r="AD98" s="201"/>
      <c r="AE98" s="201"/>
    </row>
    <row r="99" spans="2:31" x14ac:dyDescent="0.2">
      <c r="L99" s="651"/>
      <c r="T99" s="201"/>
      <c r="U99" s="201"/>
      <c r="V99" s="201"/>
      <c r="W99" s="201"/>
      <c r="X99" s="201"/>
      <c r="Y99" s="201"/>
      <c r="Z99" s="201"/>
      <c r="AA99" s="201"/>
      <c r="AB99" s="201"/>
      <c r="AC99" s="201"/>
      <c r="AD99" s="201"/>
      <c r="AE99" s="201"/>
    </row>
    <row r="100" spans="2:31" x14ac:dyDescent="0.2">
      <c r="L100" s="651"/>
      <c r="T100" s="201"/>
      <c r="U100" s="201"/>
      <c r="V100" s="201"/>
      <c r="W100" s="201"/>
      <c r="X100" s="201"/>
      <c r="Y100" s="201"/>
      <c r="Z100" s="201"/>
      <c r="AA100" s="201"/>
      <c r="AB100" s="201"/>
      <c r="AC100" s="201"/>
      <c r="AD100" s="201"/>
      <c r="AE100" s="201"/>
    </row>
    <row r="101" spans="2:31" x14ac:dyDescent="0.2">
      <c r="L101" s="651"/>
      <c r="T101" s="201"/>
      <c r="U101" s="201"/>
      <c r="V101" s="201"/>
      <c r="W101" s="201"/>
      <c r="X101" s="201"/>
      <c r="Y101" s="201"/>
      <c r="Z101" s="201"/>
      <c r="AA101" s="201"/>
      <c r="AB101" s="201"/>
      <c r="AC101" s="201"/>
      <c r="AD101" s="201"/>
      <c r="AE101" s="201"/>
    </row>
    <row r="102" spans="2:31" ht="15" x14ac:dyDescent="0.25">
      <c r="B102" s="255" t="s">
        <v>582</v>
      </c>
      <c r="C102" s="256"/>
      <c r="E102" s="255" t="s">
        <v>579</v>
      </c>
      <c r="F102" s="255"/>
      <c r="G102" s="256"/>
      <c r="I102" s="255" t="s">
        <v>583</v>
      </c>
      <c r="J102" s="256"/>
      <c r="L102" s="651"/>
      <c r="M102" s="255" t="s">
        <v>589</v>
      </c>
      <c r="N102" s="255"/>
      <c r="P102" s="255" t="s">
        <v>588</v>
      </c>
      <c r="Q102" s="255"/>
      <c r="R102" s="255"/>
      <c r="S102" s="256"/>
      <c r="T102" s="201"/>
      <c r="U102" s="255" t="s">
        <v>590</v>
      </c>
      <c r="V102" s="255"/>
      <c r="W102" s="255"/>
      <c r="X102" s="255"/>
      <c r="Y102" s="256"/>
      <c r="Z102" s="201"/>
      <c r="AA102" s="201"/>
      <c r="AB102" s="201"/>
      <c r="AC102" s="201"/>
      <c r="AD102" s="201"/>
      <c r="AE102" s="201"/>
    </row>
    <row r="103" spans="2:31" x14ac:dyDescent="0.2">
      <c r="L103" s="651"/>
      <c r="T103" s="201"/>
      <c r="U103" s="201"/>
      <c r="V103" s="201"/>
      <c r="W103" s="201"/>
      <c r="X103" s="201"/>
      <c r="Y103" s="201"/>
      <c r="Z103" s="201"/>
      <c r="AA103" s="201"/>
      <c r="AB103" s="201"/>
      <c r="AC103" s="201"/>
      <c r="AD103" s="201"/>
      <c r="AE103" s="201"/>
    </row>
    <row r="104" spans="2:31" x14ac:dyDescent="0.2">
      <c r="L104" s="651"/>
      <c r="T104" s="201"/>
      <c r="U104" s="201"/>
      <c r="V104" s="201"/>
      <c r="W104" s="201"/>
      <c r="X104" s="201"/>
      <c r="Y104" s="201"/>
      <c r="Z104" s="201"/>
      <c r="AA104" s="201"/>
      <c r="AB104" s="201"/>
      <c r="AC104" s="201"/>
      <c r="AD104" s="201"/>
      <c r="AE104" s="201"/>
    </row>
    <row r="105" spans="2:31" x14ac:dyDescent="0.2">
      <c r="L105" s="651"/>
      <c r="T105" s="201"/>
      <c r="U105" s="201"/>
      <c r="V105" s="201"/>
      <c r="W105" s="201"/>
      <c r="X105" s="201"/>
      <c r="Y105" s="201"/>
      <c r="Z105" s="201"/>
      <c r="AA105" s="201"/>
      <c r="AB105" s="201"/>
      <c r="AC105" s="201"/>
      <c r="AD105" s="201"/>
      <c r="AE105" s="201"/>
    </row>
    <row r="106" spans="2:31" x14ac:dyDescent="0.2">
      <c r="L106" s="651"/>
      <c r="T106" s="201"/>
      <c r="U106" s="201"/>
      <c r="V106" s="201"/>
      <c r="W106" s="201"/>
      <c r="X106" s="201"/>
      <c r="Y106" s="201"/>
      <c r="Z106" s="201"/>
      <c r="AA106" s="201"/>
      <c r="AB106" s="201"/>
      <c r="AC106" s="201"/>
      <c r="AD106" s="201"/>
      <c r="AE106" s="201"/>
    </row>
    <row r="107" spans="2:31" x14ac:dyDescent="0.2">
      <c r="L107" s="651"/>
      <c r="T107" s="201"/>
      <c r="U107" s="201"/>
      <c r="V107" s="201"/>
      <c r="W107" s="201"/>
      <c r="X107" s="201"/>
      <c r="Y107" s="201"/>
      <c r="Z107" s="201"/>
      <c r="AA107" s="201"/>
      <c r="AB107" s="201"/>
      <c r="AC107" s="201"/>
      <c r="AD107" s="201"/>
      <c r="AE107" s="201"/>
    </row>
    <row r="108" spans="2:31" x14ac:dyDescent="0.2">
      <c r="L108" s="651"/>
      <c r="T108" s="201"/>
      <c r="U108" s="201"/>
      <c r="V108" s="201"/>
      <c r="W108" s="201"/>
      <c r="X108" s="201"/>
      <c r="Y108" s="201"/>
      <c r="Z108" s="201"/>
      <c r="AA108" s="201"/>
      <c r="AB108" s="201"/>
      <c r="AC108" s="201"/>
      <c r="AD108" s="201"/>
      <c r="AE108" s="201"/>
    </row>
    <row r="109" spans="2:31" x14ac:dyDescent="0.2">
      <c r="L109" s="651"/>
      <c r="T109" s="201"/>
      <c r="U109" s="201"/>
      <c r="V109" s="201"/>
      <c r="W109" s="201"/>
      <c r="X109" s="201"/>
      <c r="Y109" s="201"/>
      <c r="Z109" s="201"/>
      <c r="AA109" s="201"/>
      <c r="AB109" s="201"/>
      <c r="AC109" s="201"/>
      <c r="AD109" s="201"/>
      <c r="AE109" s="201"/>
    </row>
    <row r="110" spans="2:31" x14ac:dyDescent="0.2">
      <c r="L110" s="651"/>
      <c r="T110" s="201"/>
      <c r="U110" s="201"/>
      <c r="V110" s="201"/>
      <c r="W110" s="201"/>
      <c r="X110" s="201"/>
      <c r="Y110" s="201"/>
      <c r="Z110" s="201"/>
      <c r="AA110" s="201"/>
      <c r="AB110" s="201"/>
      <c r="AC110" s="201"/>
      <c r="AD110" s="201"/>
      <c r="AE110" s="201"/>
    </row>
    <row r="111" spans="2:31" x14ac:dyDescent="0.2">
      <c r="L111" s="651"/>
      <c r="T111" s="201"/>
      <c r="U111" s="201"/>
      <c r="V111" s="201"/>
      <c r="W111" s="201"/>
      <c r="X111" s="201"/>
      <c r="Y111" s="201"/>
      <c r="Z111" s="201"/>
      <c r="AA111" s="201"/>
      <c r="AB111" s="201"/>
      <c r="AC111" s="201"/>
      <c r="AD111" s="201"/>
      <c r="AE111" s="201"/>
    </row>
    <row r="112" spans="2:31" x14ac:dyDescent="0.2">
      <c r="L112" s="651"/>
      <c r="T112" s="201"/>
      <c r="U112" s="201"/>
      <c r="V112" s="201"/>
      <c r="W112" s="201"/>
      <c r="X112" s="201"/>
      <c r="Y112" s="201"/>
      <c r="Z112" s="201"/>
      <c r="AA112" s="201"/>
      <c r="AB112" s="201"/>
      <c r="AC112" s="201"/>
      <c r="AD112" s="201"/>
      <c r="AE112" s="201"/>
    </row>
    <row r="113" spans="12:31" x14ac:dyDescent="0.2">
      <c r="L113" s="651"/>
      <c r="T113" s="201"/>
      <c r="U113" s="201"/>
      <c r="V113" s="201"/>
      <c r="W113" s="201"/>
      <c r="X113" s="201"/>
      <c r="Y113" s="201"/>
      <c r="Z113" s="201"/>
      <c r="AA113" s="201"/>
      <c r="AB113" s="201"/>
      <c r="AC113" s="201"/>
      <c r="AD113" s="201"/>
      <c r="AE113" s="201"/>
    </row>
    <row r="114" spans="12:31" x14ac:dyDescent="0.2">
      <c r="L114" s="651"/>
      <c r="T114" s="201"/>
      <c r="U114" s="201"/>
      <c r="V114" s="201"/>
      <c r="W114" s="201"/>
      <c r="X114" s="201"/>
      <c r="Y114" s="201"/>
      <c r="Z114" s="201"/>
      <c r="AA114" s="201"/>
      <c r="AB114" s="201"/>
      <c r="AC114" s="201"/>
      <c r="AD114" s="201"/>
      <c r="AE114" s="201"/>
    </row>
    <row r="115" spans="12:31" x14ac:dyDescent="0.2">
      <c r="L115" s="651"/>
      <c r="T115" s="201"/>
      <c r="U115" s="201"/>
      <c r="V115" s="201"/>
      <c r="W115" s="201"/>
      <c r="X115" s="201"/>
      <c r="Y115" s="201"/>
      <c r="Z115" s="201"/>
      <c r="AA115" s="201"/>
      <c r="AB115" s="201"/>
      <c r="AC115" s="201"/>
      <c r="AD115" s="201"/>
      <c r="AE115" s="201"/>
    </row>
    <row r="116" spans="12:31" x14ac:dyDescent="0.2">
      <c r="L116" s="651"/>
      <c r="T116" s="201"/>
      <c r="U116" s="201"/>
      <c r="V116" s="201"/>
      <c r="W116" s="201"/>
      <c r="X116" s="201"/>
      <c r="Y116" s="201"/>
      <c r="Z116" s="201"/>
      <c r="AA116" s="201"/>
      <c r="AB116" s="201"/>
      <c r="AC116" s="201"/>
      <c r="AD116" s="201"/>
      <c r="AE116" s="201"/>
    </row>
    <row r="117" spans="12:31" x14ac:dyDescent="0.2">
      <c r="L117" s="651"/>
      <c r="T117" s="201"/>
      <c r="U117" s="201"/>
      <c r="V117" s="201"/>
      <c r="W117" s="201"/>
      <c r="X117" s="201"/>
      <c r="Y117" s="201"/>
      <c r="Z117" s="201"/>
      <c r="AA117" s="201"/>
      <c r="AB117" s="201"/>
      <c r="AC117" s="201"/>
      <c r="AD117" s="201"/>
      <c r="AE117" s="201"/>
    </row>
    <row r="118" spans="12:31" x14ac:dyDescent="0.2">
      <c r="L118" s="651"/>
      <c r="T118" s="201"/>
      <c r="U118" s="201"/>
      <c r="V118" s="201"/>
      <c r="W118" s="201"/>
      <c r="X118" s="201"/>
      <c r="Y118" s="201"/>
      <c r="Z118" s="201"/>
      <c r="AA118" s="201"/>
      <c r="AB118" s="201"/>
      <c r="AC118" s="201"/>
      <c r="AD118" s="201"/>
      <c r="AE118" s="201"/>
    </row>
    <row r="119" spans="12:31" x14ac:dyDescent="0.2">
      <c r="L119" s="651"/>
      <c r="T119" s="201"/>
      <c r="U119" s="201"/>
      <c r="V119" s="201"/>
      <c r="W119" s="201"/>
      <c r="X119" s="201"/>
      <c r="Y119" s="201"/>
      <c r="Z119" s="201"/>
      <c r="AA119" s="201"/>
      <c r="AB119" s="201"/>
      <c r="AC119" s="201"/>
      <c r="AD119" s="201"/>
      <c r="AE119" s="201"/>
    </row>
    <row r="120" spans="12:31" x14ac:dyDescent="0.2">
      <c r="L120" s="651"/>
      <c r="T120" s="201"/>
      <c r="U120" s="201"/>
      <c r="V120" s="201"/>
      <c r="W120" s="201"/>
      <c r="X120" s="201"/>
      <c r="Y120" s="201"/>
      <c r="Z120" s="201"/>
      <c r="AA120" s="201"/>
      <c r="AB120" s="201"/>
      <c r="AC120" s="201"/>
      <c r="AD120" s="201"/>
      <c r="AE120" s="201"/>
    </row>
    <row r="121" spans="12:31" x14ac:dyDescent="0.2">
      <c r="L121" s="651"/>
      <c r="T121" s="201"/>
      <c r="U121" s="201"/>
      <c r="V121" s="201"/>
      <c r="W121" s="201"/>
      <c r="X121" s="201"/>
      <c r="Y121" s="201"/>
      <c r="Z121" s="201"/>
      <c r="AA121" s="201"/>
      <c r="AB121" s="201"/>
      <c r="AC121" s="201"/>
      <c r="AD121" s="201"/>
      <c r="AE121" s="201"/>
    </row>
    <row r="122" spans="12:31" x14ac:dyDescent="0.2">
      <c r="L122" s="651"/>
      <c r="T122" s="201"/>
      <c r="U122" s="201"/>
      <c r="V122" s="201"/>
      <c r="W122" s="201"/>
      <c r="X122" s="201"/>
      <c r="Y122" s="201"/>
      <c r="Z122" s="201"/>
      <c r="AA122" s="201"/>
      <c r="AB122" s="201"/>
      <c r="AC122" s="201"/>
      <c r="AD122" s="201"/>
      <c r="AE122" s="201"/>
    </row>
    <row r="123" spans="12:31" x14ac:dyDescent="0.2">
      <c r="L123" s="651"/>
      <c r="T123" s="201"/>
      <c r="U123" s="201"/>
      <c r="V123" s="201"/>
      <c r="W123" s="201"/>
      <c r="X123" s="201"/>
      <c r="Y123" s="201"/>
      <c r="Z123" s="201"/>
      <c r="AA123" s="201"/>
      <c r="AB123" s="201"/>
      <c r="AC123" s="201"/>
      <c r="AD123" s="201"/>
      <c r="AE123" s="201"/>
    </row>
    <row r="124" spans="12:31" x14ac:dyDescent="0.2">
      <c r="L124" s="651"/>
      <c r="T124" s="201"/>
      <c r="U124" s="201"/>
      <c r="V124" s="201"/>
      <c r="W124" s="201"/>
      <c r="X124" s="201"/>
      <c r="Y124" s="201"/>
      <c r="Z124" s="201"/>
      <c r="AA124" s="201"/>
      <c r="AB124" s="201"/>
      <c r="AC124" s="201"/>
      <c r="AD124" s="201"/>
      <c r="AE124" s="201"/>
    </row>
    <row r="125" spans="12:31" x14ac:dyDescent="0.2">
      <c r="L125" s="651"/>
      <c r="T125" s="201"/>
      <c r="U125" s="201"/>
      <c r="V125" s="201"/>
      <c r="W125" s="201"/>
      <c r="X125" s="201"/>
      <c r="Y125" s="201"/>
      <c r="Z125" s="201"/>
      <c r="AA125" s="201"/>
      <c r="AB125" s="201"/>
      <c r="AC125" s="201"/>
      <c r="AD125" s="201"/>
      <c r="AE125" s="201"/>
    </row>
    <row r="126" spans="12:31" x14ac:dyDescent="0.2">
      <c r="L126" s="651"/>
      <c r="T126" s="201"/>
      <c r="U126" s="201"/>
      <c r="V126" s="201"/>
      <c r="W126" s="201"/>
      <c r="X126" s="201"/>
      <c r="Y126" s="201"/>
      <c r="Z126" s="201"/>
      <c r="AA126" s="201"/>
      <c r="AB126" s="201"/>
      <c r="AC126" s="201"/>
      <c r="AD126" s="201"/>
      <c r="AE126" s="201"/>
    </row>
    <row r="127" spans="12:31" x14ac:dyDescent="0.2">
      <c r="L127" s="651"/>
      <c r="T127" s="201"/>
      <c r="U127" s="201"/>
      <c r="V127" s="201"/>
      <c r="W127" s="201"/>
      <c r="X127" s="201"/>
      <c r="Y127" s="201"/>
      <c r="Z127" s="201"/>
      <c r="AA127" s="201"/>
      <c r="AB127" s="201"/>
      <c r="AC127" s="201"/>
      <c r="AD127" s="201"/>
      <c r="AE127" s="201"/>
    </row>
    <row r="128" spans="12:31" x14ac:dyDescent="0.2">
      <c r="L128" s="651"/>
      <c r="T128" s="201"/>
      <c r="U128" s="201"/>
      <c r="V128" s="201"/>
      <c r="W128" s="201"/>
      <c r="X128" s="201"/>
      <c r="Y128" s="201"/>
      <c r="Z128" s="201"/>
      <c r="AA128" s="201"/>
      <c r="AB128" s="201"/>
      <c r="AC128" s="201"/>
      <c r="AD128" s="201"/>
      <c r="AE128" s="201"/>
    </row>
    <row r="129" spans="1:31" x14ac:dyDescent="0.2">
      <c r="L129" s="651"/>
      <c r="T129" s="201"/>
      <c r="U129" s="201"/>
      <c r="V129" s="201"/>
      <c r="W129" s="201"/>
      <c r="X129" s="201"/>
      <c r="Y129" s="201"/>
      <c r="Z129" s="201"/>
      <c r="AA129" s="201"/>
      <c r="AB129" s="201"/>
      <c r="AC129" s="201"/>
      <c r="AD129" s="201"/>
      <c r="AE129" s="201"/>
    </row>
    <row r="130" spans="1:31" ht="36" customHeight="1" x14ac:dyDescent="0.2">
      <c r="A130" s="196"/>
      <c r="B130" s="335" t="s">
        <v>580</v>
      </c>
      <c r="C130" s="196"/>
      <c r="D130" s="196"/>
      <c r="E130" s="196"/>
      <c r="F130" s="196"/>
      <c r="G130" s="196"/>
      <c r="H130" s="196"/>
      <c r="I130" s="196"/>
      <c r="J130" s="196"/>
      <c r="K130" s="196"/>
      <c r="L130" s="196"/>
      <c r="M130" s="196"/>
      <c r="N130" s="196"/>
      <c r="O130" s="196"/>
      <c r="P130" s="196"/>
      <c r="Q130" s="196"/>
      <c r="R130" s="196"/>
      <c r="S130" s="196"/>
    </row>
    <row r="132" spans="1:31" ht="15" thickBot="1" x14ac:dyDescent="0.25"/>
    <row r="133" spans="1:31" ht="15" customHeight="1" thickBot="1" x14ac:dyDescent="0.35">
      <c r="B133" s="210" t="s">
        <v>252</v>
      </c>
      <c r="C133" s="257">
        <v>2018</v>
      </c>
    </row>
    <row r="134" spans="1:31" ht="15" customHeight="1" x14ac:dyDescent="0.2">
      <c r="B134" s="258" t="s">
        <v>253</v>
      </c>
      <c r="C134" s="221">
        <f>Dyrehold2018!AA8</f>
        <v>105230.22826926709</v>
      </c>
    </row>
    <row r="135" spans="1:31" x14ac:dyDescent="0.2">
      <c r="B135" s="259" t="s">
        <v>254</v>
      </c>
      <c r="C135" s="223">
        <f>SUBTOTAL(9,Dyrehold2018!AA9:AA21)</f>
        <v>80172.214580894812</v>
      </c>
    </row>
    <row r="136" spans="1:31" x14ac:dyDescent="0.2">
      <c r="B136" s="259" t="s">
        <v>255</v>
      </c>
      <c r="C136" s="223">
        <f>Planteavl2018!$AE$13</f>
        <v>14569.773428571429</v>
      </c>
    </row>
    <row r="137" spans="1:31" x14ac:dyDescent="0.2">
      <c r="B137" s="259" t="s">
        <v>256</v>
      </c>
      <c r="C137" s="223">
        <f>Planteavl2018!AE19</f>
        <v>3551.2587628571428</v>
      </c>
    </row>
    <row r="138" spans="1:31" x14ac:dyDescent="0.2">
      <c r="B138" s="259" t="s">
        <v>257</v>
      </c>
      <c r="C138" s="223">
        <f>Planteavl2018!AE20</f>
        <v>7912.7946385714285</v>
      </c>
    </row>
    <row r="139" spans="1:31" x14ac:dyDescent="0.2">
      <c r="B139" s="259" t="s">
        <v>258</v>
      </c>
      <c r="C139" s="223">
        <f>Planteavl2018!AE15</f>
        <v>18.043048571428574</v>
      </c>
    </row>
    <row r="140" spans="1:31" x14ac:dyDescent="0.2">
      <c r="B140" s="259" t="s">
        <v>259</v>
      </c>
      <c r="C140" s="223">
        <f>Planteavl2018!AE11+Planteavl2018!AE10</f>
        <v>10041.620786314352</v>
      </c>
    </row>
    <row r="141" spans="1:31" x14ac:dyDescent="0.2">
      <c r="B141" s="259" t="s">
        <v>260</v>
      </c>
      <c r="C141" s="223">
        <f>Planteavl2018!AE16</f>
        <v>17387.678031428575</v>
      </c>
    </row>
    <row r="142" spans="1:31" x14ac:dyDescent="0.2">
      <c r="B142" s="259" t="s">
        <v>261</v>
      </c>
      <c r="C142" s="223">
        <f>Planteavl2018!AE17</f>
        <v>24813.888691428572</v>
      </c>
    </row>
    <row r="143" spans="1:31" x14ac:dyDescent="0.2">
      <c r="B143" s="259" t="s">
        <v>262</v>
      </c>
      <c r="C143" s="223">
        <f>Planteavl2018!AE18</f>
        <v>2906.2318241705912</v>
      </c>
    </row>
    <row r="144" spans="1:31" ht="15" thickBot="1" x14ac:dyDescent="0.25">
      <c r="B144" s="260" t="s">
        <v>263</v>
      </c>
      <c r="C144" s="261">
        <f>Planteavl2018!AE21+Planteavl2018!AE22+Planteavl2018!AE23</f>
        <v>4058.576485975881</v>
      </c>
    </row>
    <row r="145" spans="2:3" ht="15.75" thickBot="1" x14ac:dyDescent="0.3">
      <c r="B145" s="262" t="s">
        <v>249</v>
      </c>
      <c r="C145" s="263">
        <f>SUM(C134:C144)</f>
        <v>270662.30854805128</v>
      </c>
    </row>
    <row r="146" spans="2:3" x14ac:dyDescent="0.2">
      <c r="B146" s="264" t="s">
        <v>264</v>
      </c>
    </row>
    <row r="147" spans="2:3" x14ac:dyDescent="0.2">
      <c r="B147" s="197" t="s">
        <v>265</v>
      </c>
    </row>
    <row r="148" spans="2:3" x14ac:dyDescent="0.2">
      <c r="B148" s="197"/>
    </row>
    <row r="149" spans="2:3" x14ac:dyDescent="0.2">
      <c r="B149" s="197"/>
    </row>
    <row r="150" spans="2:3" x14ac:dyDescent="0.2">
      <c r="B150" s="197"/>
    </row>
    <row r="151" spans="2:3" x14ac:dyDescent="0.2">
      <c r="B151" s="197"/>
    </row>
    <row r="152" spans="2:3" x14ac:dyDescent="0.2">
      <c r="B152" s="197"/>
    </row>
    <row r="153" spans="2:3" x14ac:dyDescent="0.2">
      <c r="B153" s="197"/>
    </row>
    <row r="154" spans="2:3" x14ac:dyDescent="0.2">
      <c r="B154" s="197"/>
    </row>
    <row r="155" spans="2:3" x14ac:dyDescent="0.2">
      <c r="B155" s="197"/>
    </row>
    <row r="156" spans="2:3" x14ac:dyDescent="0.2">
      <c r="B156" s="197"/>
    </row>
    <row r="157" spans="2:3" x14ac:dyDescent="0.2">
      <c r="B157" s="197"/>
    </row>
    <row r="158" spans="2:3" x14ac:dyDescent="0.2">
      <c r="B158" s="197"/>
    </row>
    <row r="159" spans="2:3" x14ac:dyDescent="0.2">
      <c r="B159" s="197"/>
    </row>
    <row r="160" spans="2:3" x14ac:dyDescent="0.2">
      <c r="B160" s="197"/>
    </row>
    <row r="161" spans="2:11" x14ac:dyDescent="0.2">
      <c r="B161" s="197"/>
    </row>
    <row r="162" spans="2:11" x14ac:dyDescent="0.2">
      <c r="B162" s="197"/>
    </row>
    <row r="163" spans="2:11" x14ac:dyDescent="0.2">
      <c r="B163" s="197"/>
    </row>
    <row r="164" spans="2:11" x14ac:dyDescent="0.2">
      <c r="B164" s="197"/>
    </row>
    <row r="165" spans="2:11" x14ac:dyDescent="0.2">
      <c r="B165" s="197"/>
    </row>
    <row r="172" spans="2:11" ht="15" thickBot="1" x14ac:dyDescent="0.25"/>
    <row r="173" spans="2:11" ht="15.75" thickBot="1" x14ac:dyDescent="0.3">
      <c r="B173" s="210" t="s">
        <v>592</v>
      </c>
      <c r="C173" s="257">
        <v>2018</v>
      </c>
      <c r="K173" s="206"/>
    </row>
    <row r="174" spans="2:11" x14ac:dyDescent="0.2">
      <c r="B174" s="258" t="s">
        <v>266</v>
      </c>
      <c r="C174" s="626">
        <f>Arealanvendelse2018!B10+Arealanvendelse2018!C18+Arealanvendelse2018!D18+Arealanvendelse2018!E18+Arealanvendelse2018!H18</f>
        <v>4975.9425000000001</v>
      </c>
      <c r="K174" s="206"/>
    </row>
    <row r="175" spans="2:11" x14ac:dyDescent="0.2">
      <c r="B175" s="259" t="s">
        <v>267</v>
      </c>
      <c r="C175" s="627">
        <f>Arealanvendelse2018!C11+Arealanvendelse2018!B19+Arealanvendelse2018!D19+Arealanvendelse2018!E19+Arealanvendelse2018!H19</f>
        <v>50750.63</v>
      </c>
      <c r="K175" s="206"/>
    </row>
    <row r="176" spans="2:11" x14ac:dyDescent="0.2">
      <c r="B176" s="259" t="s">
        <v>268</v>
      </c>
      <c r="C176" s="627">
        <f>Arealanvendelse2018!D12+Arealanvendelse2018!B20+Arealanvendelse2018!C20+Arealanvendelse2018!E20+Arealanvendelse2018!H20</f>
        <v>2765.0650000000001</v>
      </c>
      <c r="K176" s="206"/>
    </row>
    <row r="177" spans="2:11" x14ac:dyDescent="0.2">
      <c r="B177" s="259" t="s">
        <v>269</v>
      </c>
      <c r="C177" s="627">
        <f>Arealanvendelse2018!E13+Arealanvendelse2018!B21+Arealanvendelse2018!C21+Arealanvendelse2018!D21+Arealanvendelse2018!H21</f>
        <v>1177.9524999999999</v>
      </c>
      <c r="K177" s="206"/>
    </row>
    <row r="178" spans="2:11" x14ac:dyDescent="0.2">
      <c r="B178" s="259" t="s">
        <v>270</v>
      </c>
      <c r="C178" s="627">
        <f>Arealanvendelse2018!F14+Arealanvendelse2018!B22+Arealanvendelse2018!C22+Arealanvendelse2018!D22+Arealanvendelse2018!H22</f>
        <v>1059.1975000000002</v>
      </c>
      <c r="K178" s="206"/>
    </row>
    <row r="179" spans="2:11" x14ac:dyDescent="0.2">
      <c r="B179" s="259" t="s">
        <v>271</v>
      </c>
      <c r="C179" s="627">
        <f>Arealanvendelse2018!G15+Arealanvendelse2018!B23+Arealanvendelse2018!C23+Arealanvendelse2018!D23+Arealanvendelse2018!E23+Arealanvendelse2018!H23</f>
        <v>7587.2524999999996</v>
      </c>
      <c r="K179" s="206"/>
    </row>
    <row r="180" spans="2:11" ht="15" thickBot="1" x14ac:dyDescent="0.25">
      <c r="B180" s="259" t="s">
        <v>272</v>
      </c>
      <c r="C180" s="627">
        <f>Arealanvendelse2018!H16+Arealanvendelse2018!H24</f>
        <v>66.125</v>
      </c>
      <c r="K180" s="206"/>
    </row>
    <row r="181" spans="2:11" ht="15.75" thickBot="1" x14ac:dyDescent="0.3">
      <c r="B181" s="262" t="s">
        <v>578</v>
      </c>
      <c r="C181" s="263">
        <f>SUM(C174:C180)</f>
        <v>68382.164999999994</v>
      </c>
      <c r="K181" s="206"/>
    </row>
    <row r="182" spans="2:11" x14ac:dyDescent="0.2">
      <c r="K182" s="206"/>
    </row>
    <row r="183" spans="2:11" x14ac:dyDescent="0.2">
      <c r="K183" s="206"/>
    </row>
    <row r="184" spans="2:11" x14ac:dyDescent="0.2">
      <c r="K184" s="206"/>
    </row>
    <row r="185" spans="2:11" x14ac:dyDescent="0.2">
      <c r="K185" s="206"/>
    </row>
    <row r="186" spans="2:11" x14ac:dyDescent="0.2">
      <c r="K186" s="206"/>
    </row>
    <row r="187" spans="2:11" x14ac:dyDescent="0.2">
      <c r="K187" s="206"/>
    </row>
    <row r="188" spans="2:11" x14ac:dyDescent="0.2">
      <c r="K188" s="206"/>
    </row>
    <row r="189" spans="2:11" x14ac:dyDescent="0.2">
      <c r="K189" s="206"/>
    </row>
    <row r="190" spans="2:11" x14ac:dyDescent="0.2">
      <c r="K190" s="206"/>
    </row>
    <row r="191" spans="2:11" x14ac:dyDescent="0.2">
      <c r="K191" s="206"/>
    </row>
    <row r="192" spans="2:11" x14ac:dyDescent="0.2">
      <c r="K192" s="206"/>
    </row>
    <row r="193" spans="2:11" x14ac:dyDescent="0.2">
      <c r="K193" s="206"/>
    </row>
    <row r="194" spans="2:11" x14ac:dyDescent="0.2">
      <c r="K194" s="206"/>
    </row>
    <row r="195" spans="2:11" x14ac:dyDescent="0.2">
      <c r="K195" s="206"/>
    </row>
    <row r="196" spans="2:11" x14ac:dyDescent="0.2">
      <c r="K196" s="206"/>
    </row>
    <row r="197" spans="2:11" x14ac:dyDescent="0.2">
      <c r="K197" s="206"/>
    </row>
    <row r="198" spans="2:11" x14ac:dyDescent="0.2">
      <c r="K198" s="206"/>
    </row>
    <row r="199" spans="2:11" x14ac:dyDescent="0.2">
      <c r="K199" s="206"/>
    </row>
    <row r="200" spans="2:11" x14ac:dyDescent="0.2">
      <c r="K200" s="206"/>
    </row>
    <row r="204" spans="2:11" ht="15" thickBot="1" x14ac:dyDescent="0.25"/>
    <row r="205" spans="2:11" ht="42.75" customHeight="1" thickBot="1" x14ac:dyDescent="0.3">
      <c r="B205" s="265" t="s">
        <v>591</v>
      </c>
      <c r="C205" s="257">
        <v>2018</v>
      </c>
      <c r="G205" s="337"/>
      <c r="H205" s="337"/>
      <c r="I205" s="337"/>
      <c r="J205" s="337"/>
      <c r="K205" s="337"/>
    </row>
    <row r="206" spans="2:11" x14ac:dyDescent="0.2">
      <c r="B206" s="258" t="s">
        <v>266</v>
      </c>
      <c r="C206" s="221">
        <f>Arealanvendelse2018!P10</f>
        <v>3964.3507274043041</v>
      </c>
      <c r="G206" s="337"/>
      <c r="H206" s="337"/>
      <c r="I206" s="337"/>
      <c r="J206" s="337"/>
      <c r="K206" s="337"/>
    </row>
    <row r="207" spans="2:11" x14ac:dyDescent="0.2">
      <c r="B207" s="259" t="s">
        <v>267</v>
      </c>
      <c r="C207" s="223">
        <f>Arealanvendelse2018!P11</f>
        <v>117345.90053903757</v>
      </c>
      <c r="G207" s="337"/>
      <c r="H207" s="337"/>
      <c r="I207" s="337"/>
      <c r="J207" s="337"/>
      <c r="K207" s="337"/>
    </row>
    <row r="208" spans="2:11" x14ac:dyDescent="0.2">
      <c r="B208" s="259" t="s">
        <v>277</v>
      </c>
      <c r="C208" s="223">
        <f>Arealanvendelse2018!P12</f>
        <v>8165.4147241055907</v>
      </c>
      <c r="G208" s="337"/>
      <c r="H208" s="337"/>
      <c r="I208" s="337"/>
      <c r="J208" s="337"/>
      <c r="K208" s="337"/>
    </row>
    <row r="209" spans="2:3" ht="15" thickBot="1" x14ac:dyDescent="0.25">
      <c r="B209" s="270" t="s">
        <v>279</v>
      </c>
      <c r="C209" s="235">
        <f>Arealanvendelse2018!P13</f>
        <v>0</v>
      </c>
    </row>
    <row r="227" spans="2:6" ht="15" thickBot="1" x14ac:dyDescent="0.25"/>
    <row r="228" spans="2:6" ht="15" x14ac:dyDescent="0.25">
      <c r="B228" s="746" t="s">
        <v>593</v>
      </c>
      <c r="C228" s="748">
        <v>2018</v>
      </c>
      <c r="D228" s="748"/>
      <c r="E228" s="748"/>
      <c r="F228" s="749"/>
    </row>
    <row r="229" spans="2:6" ht="32.25" x14ac:dyDescent="0.3">
      <c r="B229" s="747"/>
      <c r="C229" s="647" t="s">
        <v>358</v>
      </c>
      <c r="D229" s="266" t="s">
        <v>273</v>
      </c>
      <c r="E229" s="266" t="s">
        <v>274</v>
      </c>
      <c r="F229" s="267" t="s">
        <v>275</v>
      </c>
    </row>
    <row r="230" spans="2:6" ht="28.5" x14ac:dyDescent="0.2">
      <c r="B230" s="268" t="s">
        <v>276</v>
      </c>
      <c r="C230" s="208">
        <f>Arealanvendelse2018!P28+Arealanvendelse2018!P29</f>
        <v>4181.9017834374999</v>
      </c>
      <c r="D230" s="208">
        <f>Arealanvendelse2018!K28+Arealanvendelse2018!K29</f>
        <v>561.45822062499997</v>
      </c>
      <c r="E230" s="208">
        <f>Arealanvendelse2018!L28+Arealanvendelse2018!L29</f>
        <v>131.19099593749999</v>
      </c>
      <c r="F230" s="223">
        <f>Arealanvendelse2018!M28+Arealanvendelse2018!M29</f>
        <v>1.1431834374999998</v>
      </c>
    </row>
    <row r="231" spans="2:6" ht="29.25" thickBot="1" x14ac:dyDescent="0.25">
      <c r="B231" s="269" t="s">
        <v>278</v>
      </c>
      <c r="C231" s="239">
        <f>Arealanvendelse2018!P30+Arealanvendelse2018!P31</f>
        <v>71.692968750000006</v>
      </c>
      <c r="D231" s="239">
        <f>Arealanvendelse2018!K30+Arealanvendelse2018!K31</f>
        <v>0</v>
      </c>
      <c r="E231" s="239">
        <f>Arealanvendelse2018!L30+Arealanvendelse2018!L31</f>
        <v>2.8677187499999999</v>
      </c>
      <c r="F231" s="235">
        <f>Arealanvendelse2018!M30+Arealanvendelse2018!M31</f>
        <v>0</v>
      </c>
    </row>
    <row r="246" spans="2:14" ht="15" x14ac:dyDescent="0.25">
      <c r="M246" s="271"/>
    </row>
    <row r="247" spans="2:14" ht="15" x14ac:dyDescent="0.25">
      <c r="M247" s="272"/>
    </row>
    <row r="248" spans="2:14" ht="15" thickBot="1" x14ac:dyDescent="0.25">
      <c r="M248" s="224"/>
      <c r="N248" s="206"/>
    </row>
    <row r="249" spans="2:14" ht="15" x14ac:dyDescent="0.25">
      <c r="B249" s="750" t="s">
        <v>594</v>
      </c>
      <c r="C249" s="752">
        <v>2018</v>
      </c>
      <c r="D249" s="752"/>
      <c r="E249" s="753"/>
      <c r="M249" s="274"/>
    </row>
    <row r="250" spans="2:14" ht="15.75" thickBot="1" x14ac:dyDescent="0.3">
      <c r="B250" s="751"/>
      <c r="C250" s="275"/>
      <c r="D250" s="276" t="s">
        <v>258</v>
      </c>
      <c r="E250" s="277" t="s">
        <v>249</v>
      </c>
      <c r="M250" s="274"/>
    </row>
    <row r="251" spans="2:14" ht="15" x14ac:dyDescent="0.25">
      <c r="B251" s="268" t="s">
        <v>281</v>
      </c>
      <c r="C251" s="226">
        <f>Arealanvendelse2018!P18</f>
        <v>-2765.3664337209743</v>
      </c>
      <c r="D251" s="279" t="s">
        <v>282</v>
      </c>
      <c r="E251" s="280">
        <f>SUM(C251:D251)</f>
        <v>-2765.3664337209743</v>
      </c>
      <c r="M251" s="274"/>
    </row>
    <row r="252" spans="2:14" ht="15" x14ac:dyDescent="0.25">
      <c r="B252" s="268" t="s">
        <v>284</v>
      </c>
      <c r="C252" s="208">
        <f>Arealanvendelse2018!P19</f>
        <v>1284.2490757958312</v>
      </c>
      <c r="D252" s="208">
        <f>Arealanvendelse2018!P25</f>
        <v>43.07858592736951</v>
      </c>
      <c r="E252" s="280">
        <f t="shared" ref="E252:E255" si="3">SUM(C252:D252)</f>
        <v>1327.3276617232007</v>
      </c>
      <c r="M252" s="274"/>
    </row>
    <row r="253" spans="2:14" ht="15" x14ac:dyDescent="0.25">
      <c r="B253" s="268" t="s">
        <v>285</v>
      </c>
      <c r="C253" s="208">
        <f>Arealanvendelse2018!P20</f>
        <v>652.10041108860594</v>
      </c>
      <c r="D253" s="208">
        <f>Arealanvendelse2018!P26</f>
        <v>6.7793850915404823</v>
      </c>
      <c r="E253" s="280">
        <f t="shared" si="3"/>
        <v>658.8797961801464</v>
      </c>
      <c r="M253" s="281"/>
    </row>
    <row r="254" spans="2:14" ht="29.25" x14ac:dyDescent="0.25">
      <c r="B254" s="282" t="s">
        <v>286</v>
      </c>
      <c r="C254" s="283" t="str">
        <f>Arealanvendelse2018!P21</f>
        <v>NO</v>
      </c>
      <c r="D254" s="284" t="s">
        <v>282</v>
      </c>
      <c r="E254" s="280">
        <f t="shared" si="3"/>
        <v>0</v>
      </c>
      <c r="M254" s="285"/>
    </row>
    <row r="255" spans="2:14" ht="15.75" thickBot="1" x14ac:dyDescent="0.3">
      <c r="B255" s="269" t="s">
        <v>287</v>
      </c>
      <c r="C255" s="239">
        <f>Arealanvendelse2018!P23</f>
        <v>1817.8156549445087</v>
      </c>
      <c r="D255" s="239">
        <f>Arealanvendelse2018!P27</f>
        <v>698.39569644233461</v>
      </c>
      <c r="E255" s="286">
        <f t="shared" si="3"/>
        <v>2516.2113513868435</v>
      </c>
      <c r="M255" s="274"/>
    </row>
    <row r="256" spans="2:14" ht="15" x14ac:dyDescent="0.25">
      <c r="M256" s="274"/>
    </row>
    <row r="257" spans="6:13" ht="15" x14ac:dyDescent="0.25">
      <c r="M257" s="281"/>
    </row>
    <row r="258" spans="6:13" ht="15" x14ac:dyDescent="0.25">
      <c r="M258" s="271"/>
    </row>
    <row r="259" spans="6:13" ht="15" x14ac:dyDescent="0.25">
      <c r="M259" s="272"/>
    </row>
    <row r="260" spans="6:13" ht="15" x14ac:dyDescent="0.25">
      <c r="M260" s="272"/>
    </row>
    <row r="261" spans="6:13" ht="15" x14ac:dyDescent="0.25">
      <c r="M261" s="272"/>
    </row>
    <row r="262" spans="6:13" ht="15" x14ac:dyDescent="0.25">
      <c r="M262" s="272"/>
    </row>
    <row r="263" spans="6:13" ht="15" x14ac:dyDescent="0.25">
      <c r="M263" s="272"/>
    </row>
    <row r="264" spans="6:13" ht="17.25" customHeight="1" x14ac:dyDescent="0.25">
      <c r="M264" s="287"/>
    </row>
    <row r="265" spans="6:13" ht="15" x14ac:dyDescent="0.25">
      <c r="F265" s="224"/>
      <c r="M265" s="272"/>
    </row>
    <row r="266" spans="6:13" ht="15" x14ac:dyDescent="0.25">
      <c r="F266" s="224"/>
      <c r="M266" s="272"/>
    </row>
    <row r="267" spans="6:13" ht="15" x14ac:dyDescent="0.25">
      <c r="M267" s="272"/>
    </row>
    <row r="268" spans="6:13" ht="15" x14ac:dyDescent="0.25">
      <c r="M268" s="272"/>
    </row>
    <row r="269" spans="6:13" ht="15" x14ac:dyDescent="0.25">
      <c r="M269" s="272"/>
    </row>
    <row r="274" spans="2:3" ht="15" thickBot="1" x14ac:dyDescent="0.25"/>
    <row r="275" spans="2:3" ht="47.25" thickBot="1" x14ac:dyDescent="0.35">
      <c r="B275" s="210" t="s">
        <v>595</v>
      </c>
      <c r="C275" s="273">
        <v>2018</v>
      </c>
    </row>
    <row r="276" spans="2:3" x14ac:dyDescent="0.2">
      <c r="B276" s="278" t="s">
        <v>280</v>
      </c>
      <c r="C276" s="221">
        <f>Arealanvendelse2018!P33</f>
        <v>9680.9997656249998</v>
      </c>
    </row>
    <row r="277" spans="2:3" ht="15" thickBot="1" x14ac:dyDescent="0.25">
      <c r="B277" s="269" t="s">
        <v>283</v>
      </c>
      <c r="C277" s="235">
        <f>Arealanvendelse2018!P35+Arealanvendelse2018!P34</f>
        <v>0</v>
      </c>
    </row>
    <row r="297" spans="2:4" ht="18.75" x14ac:dyDescent="0.35">
      <c r="B297" s="201" t="s">
        <v>288</v>
      </c>
    </row>
    <row r="299" spans="2:4" ht="45" x14ac:dyDescent="0.25">
      <c r="B299" s="288" t="s">
        <v>359</v>
      </c>
      <c r="C299" s="289" t="s">
        <v>240</v>
      </c>
      <c r="D299" s="290" t="s">
        <v>574</v>
      </c>
    </row>
    <row r="300" spans="2:4" x14ac:dyDescent="0.2">
      <c r="B300" s="291" t="s">
        <v>289</v>
      </c>
      <c r="C300" s="208">
        <f>Dyrehold2018!AA8</f>
        <v>105230.22826926709</v>
      </c>
      <c r="D300" s="208"/>
    </row>
    <row r="301" spans="2:4" x14ac:dyDescent="0.2">
      <c r="B301" s="291" t="s">
        <v>290</v>
      </c>
      <c r="C301" s="208">
        <f>(Dyrehold2018!Y9+Dyrehold2018!Y10+Dyrehold2018!Y11+Dyrehold2018!Y12+Dyrehold2018!Y13+Dyrehold2018!Y14+Dyrehold2018!Y15)*298</f>
        <v>25430.302978473544</v>
      </c>
      <c r="D301" s="208"/>
    </row>
    <row r="302" spans="2:4" x14ac:dyDescent="0.2">
      <c r="B302" s="291" t="s">
        <v>291</v>
      </c>
      <c r="C302" s="208">
        <f>(Dyrehold2018!X9+Dyrehold2018!X10+Dyrehold2018!X11+Dyrehold2018!X12+Dyrehold2018!X13+Dyrehold2018!X14+Dyrehold2018!X15)*25</f>
        <v>57499.317480407582</v>
      </c>
      <c r="D302" s="208"/>
    </row>
    <row r="303" spans="2:4" x14ac:dyDescent="0.2">
      <c r="B303" s="291" t="s">
        <v>292</v>
      </c>
      <c r="C303" s="292"/>
      <c r="D303" s="208">
        <f>-(Dyrehold2018!$AA$16)</f>
        <v>994.77170692683751</v>
      </c>
    </row>
    <row r="304" spans="2:4" x14ac:dyDescent="0.2">
      <c r="B304" s="291" t="s">
        <v>293</v>
      </c>
      <c r="C304" s="292"/>
      <c r="D304" s="208">
        <f>-(Dyrehold2018!$AA$17)</f>
        <v>1590.0223409282075</v>
      </c>
    </row>
    <row r="305" spans="1:4" x14ac:dyDescent="0.2">
      <c r="B305" s="291" t="s">
        <v>294</v>
      </c>
      <c r="C305" s="292"/>
      <c r="D305" s="208">
        <f>-(Dyrehold2018!$AA$18)</f>
        <v>33.242520058048683</v>
      </c>
    </row>
    <row r="306" spans="1:4" x14ac:dyDescent="0.2">
      <c r="B306" s="291" t="s">
        <v>295</v>
      </c>
      <c r="C306" s="292"/>
      <c r="D306" s="208">
        <f>-(Dyrehold2018!$AA$19)</f>
        <v>15.851688976028836</v>
      </c>
    </row>
    <row r="307" spans="1:4" x14ac:dyDescent="0.2">
      <c r="B307" s="291" t="s">
        <v>296</v>
      </c>
      <c r="C307" s="292"/>
      <c r="D307" s="208">
        <f>-(Dyrehold2018!$AA$20)</f>
        <v>0</v>
      </c>
    </row>
    <row r="308" spans="1:4" x14ac:dyDescent="0.2">
      <c r="B308" s="291" t="s">
        <v>297</v>
      </c>
      <c r="C308" s="292"/>
      <c r="D308" s="208">
        <f>-(Dyrehold2018!$AA$21)</f>
        <v>123.51762109717258</v>
      </c>
    </row>
    <row r="309" spans="1:4" x14ac:dyDescent="0.2">
      <c r="A309" s="201" t="s">
        <v>298</v>
      </c>
      <c r="B309" s="293" t="s">
        <v>299</v>
      </c>
      <c r="C309" s="206"/>
    </row>
    <row r="310" spans="1:4" x14ac:dyDescent="0.2">
      <c r="C310" s="206"/>
    </row>
    <row r="311" spans="1:4" x14ac:dyDescent="0.2">
      <c r="C311" s="206"/>
    </row>
    <row r="312" spans="1:4" x14ac:dyDescent="0.2">
      <c r="C312" s="206"/>
    </row>
    <row r="313" spans="1:4" x14ac:dyDescent="0.2">
      <c r="C313" s="206"/>
    </row>
    <row r="314" spans="1:4" x14ac:dyDescent="0.2">
      <c r="C314" s="206"/>
    </row>
    <row r="315" spans="1:4" x14ac:dyDescent="0.2">
      <c r="C315" s="206"/>
    </row>
    <row r="316" spans="1:4" x14ac:dyDescent="0.2">
      <c r="C316" s="206"/>
    </row>
    <row r="317" spans="1:4" x14ac:dyDescent="0.2">
      <c r="C317" s="206"/>
    </row>
    <row r="318" spans="1:4" x14ac:dyDescent="0.2">
      <c r="C318" s="206"/>
    </row>
    <row r="319" spans="1:4" x14ac:dyDescent="0.2">
      <c r="C319" s="206"/>
    </row>
    <row r="320" spans="1:4" x14ac:dyDescent="0.2">
      <c r="C320" s="206"/>
    </row>
    <row r="321" spans="2:3" x14ac:dyDescent="0.2">
      <c r="C321" s="206"/>
    </row>
    <row r="322" spans="2:3" x14ac:dyDescent="0.2">
      <c r="C322" s="206"/>
    </row>
    <row r="323" spans="2:3" x14ac:dyDescent="0.2">
      <c r="C323" s="206"/>
    </row>
    <row r="324" spans="2:3" x14ac:dyDescent="0.2">
      <c r="C324" s="206"/>
    </row>
    <row r="325" spans="2:3" x14ac:dyDescent="0.2">
      <c r="C325" s="206"/>
    </row>
    <row r="326" spans="2:3" x14ac:dyDescent="0.2">
      <c r="C326" s="206"/>
    </row>
    <row r="327" spans="2:3" x14ac:dyDescent="0.2">
      <c r="C327" s="206"/>
    </row>
    <row r="328" spans="2:3" x14ac:dyDescent="0.2">
      <c r="C328" s="206"/>
    </row>
    <row r="329" spans="2:3" x14ac:dyDescent="0.2">
      <c r="C329" s="206"/>
    </row>
    <row r="330" spans="2:3" x14ac:dyDescent="0.2">
      <c r="C330" s="206"/>
    </row>
    <row r="331" spans="2:3" x14ac:dyDescent="0.2">
      <c r="C331" s="206"/>
    </row>
    <row r="332" spans="2:3" ht="15" customHeight="1" thickBot="1" x14ac:dyDescent="0.25"/>
    <row r="333" spans="2:3" ht="15" customHeight="1" thickBot="1" x14ac:dyDescent="0.3">
      <c r="B333" s="210" t="s">
        <v>300</v>
      </c>
      <c r="C333" s="294">
        <v>2018</v>
      </c>
    </row>
    <row r="334" spans="2:3" ht="15" customHeight="1" x14ac:dyDescent="0.2">
      <c r="B334" s="258" t="s">
        <v>301</v>
      </c>
      <c r="C334" s="221">
        <f>Planteavl2018!B10</f>
        <v>8848.49</v>
      </c>
    </row>
    <row r="335" spans="2:3" ht="15" customHeight="1" x14ac:dyDescent="0.2">
      <c r="B335" s="259" t="s">
        <v>596</v>
      </c>
      <c r="C335" s="223">
        <f>Planteavl2018!C10</f>
        <v>149.26999999999998</v>
      </c>
    </row>
    <row r="336" spans="2:3" ht="15" customHeight="1" x14ac:dyDescent="0.2">
      <c r="B336" s="259" t="s">
        <v>302</v>
      </c>
      <c r="C336" s="223">
        <f>Planteavl2018!D10</f>
        <v>1902.6799999999998</v>
      </c>
    </row>
    <row r="337" spans="2:3" ht="15" customHeight="1" x14ac:dyDescent="0.2">
      <c r="B337" s="259" t="s">
        <v>303</v>
      </c>
      <c r="C337" s="223">
        <f>Planteavl2018!E10</f>
        <v>2331.62</v>
      </c>
    </row>
    <row r="338" spans="2:3" ht="15" customHeight="1" x14ac:dyDescent="0.2">
      <c r="B338" s="259" t="s">
        <v>304</v>
      </c>
      <c r="C338" s="223">
        <f>Planteavl2018!F10</f>
        <v>10208.029999999999</v>
      </c>
    </row>
    <row r="339" spans="2:3" ht="15" customHeight="1" x14ac:dyDescent="0.2">
      <c r="B339" s="259" t="s">
        <v>305</v>
      </c>
      <c r="C339" s="223">
        <f>Planteavl2018!G10</f>
        <v>1722.72</v>
      </c>
    </row>
    <row r="340" spans="2:3" ht="15" customHeight="1" x14ac:dyDescent="0.2">
      <c r="B340" s="259" t="s">
        <v>306</v>
      </c>
      <c r="C340" s="223">
        <f>Planteavl2018!H10</f>
        <v>77.97</v>
      </c>
    </row>
    <row r="341" spans="2:3" ht="15" customHeight="1" x14ac:dyDescent="0.2">
      <c r="B341" s="259" t="s">
        <v>307</v>
      </c>
      <c r="C341" s="223">
        <f>Planteavl2018!I10</f>
        <v>12.97</v>
      </c>
    </row>
    <row r="342" spans="2:3" ht="15" customHeight="1" x14ac:dyDescent="0.2">
      <c r="B342" s="259" t="s">
        <v>308</v>
      </c>
      <c r="C342" s="223">
        <f>Planteavl2018!J10</f>
        <v>586.62</v>
      </c>
    </row>
    <row r="343" spans="2:3" ht="15" customHeight="1" x14ac:dyDescent="0.2">
      <c r="B343" s="259" t="s">
        <v>309</v>
      </c>
      <c r="C343" s="223">
        <f>Planteavl2018!K10</f>
        <v>0.9</v>
      </c>
    </row>
    <row r="344" spans="2:3" ht="15" customHeight="1" x14ac:dyDescent="0.2">
      <c r="B344" s="259" t="s">
        <v>310</v>
      </c>
      <c r="C344" s="223">
        <f>Planteavl2018!L10</f>
        <v>588.1099999999999</v>
      </c>
    </row>
    <row r="345" spans="2:3" ht="15" customHeight="1" x14ac:dyDescent="0.2">
      <c r="B345" s="259" t="s">
        <v>311</v>
      </c>
      <c r="C345" s="223">
        <f>Planteavl2018!M10</f>
        <v>108.67</v>
      </c>
    </row>
    <row r="346" spans="2:3" ht="15" customHeight="1" x14ac:dyDescent="0.2">
      <c r="B346" s="259" t="s">
        <v>312</v>
      </c>
      <c r="C346" s="223">
        <f>Planteavl2018!N10</f>
        <v>4233.62</v>
      </c>
    </row>
    <row r="347" spans="2:3" ht="15" customHeight="1" x14ac:dyDescent="0.2">
      <c r="B347" s="259" t="s">
        <v>313</v>
      </c>
      <c r="C347" s="223">
        <f>Planteavl2018!O10</f>
        <v>6248.89</v>
      </c>
    </row>
    <row r="348" spans="2:3" ht="15" customHeight="1" x14ac:dyDescent="0.2">
      <c r="B348" s="259" t="s">
        <v>314</v>
      </c>
      <c r="C348" s="223">
        <f>Planteavl2018!P10</f>
        <v>3553.61</v>
      </c>
    </row>
    <row r="349" spans="2:3" ht="15" customHeight="1" thickBot="1" x14ac:dyDescent="0.25">
      <c r="B349" s="270" t="s">
        <v>315</v>
      </c>
      <c r="C349" s="235">
        <f>Planteavl2018!Q10</f>
        <v>3176.6200000000003</v>
      </c>
    </row>
    <row r="350" spans="2:3" ht="15" customHeight="1" thickBot="1" x14ac:dyDescent="0.25">
      <c r="B350" s="295" t="s">
        <v>316</v>
      </c>
      <c r="C350" s="296">
        <f>SUM(C334:C349)-C347-C348</f>
        <v>33948.290000000008</v>
      </c>
    </row>
    <row r="351" spans="2:3" ht="15" customHeight="1" x14ac:dyDescent="0.35">
      <c r="B351" s="297"/>
    </row>
    <row r="352" spans="2:3" ht="15" customHeight="1" x14ac:dyDescent="0.35">
      <c r="B352" s="297"/>
    </row>
    <row r="353" spans="2:2" ht="15" customHeight="1" x14ac:dyDescent="0.35">
      <c r="B353" s="297"/>
    </row>
    <row r="354" spans="2:2" ht="15" customHeight="1" x14ac:dyDescent="0.35">
      <c r="B354" s="297"/>
    </row>
    <row r="355" spans="2:2" ht="15" customHeight="1" x14ac:dyDescent="0.35">
      <c r="B355" s="297"/>
    </row>
    <row r="356" spans="2:2" ht="15" customHeight="1" x14ac:dyDescent="0.35">
      <c r="B356" s="297"/>
    </row>
    <row r="357" spans="2:2" ht="15" customHeight="1" x14ac:dyDescent="0.35">
      <c r="B357" s="297"/>
    </row>
    <row r="358" spans="2:2" ht="15" customHeight="1" x14ac:dyDescent="0.35">
      <c r="B358" s="297"/>
    </row>
    <row r="359" spans="2:2" ht="15" customHeight="1" x14ac:dyDescent="0.35">
      <c r="B359" s="297"/>
    </row>
    <row r="360" spans="2:2" ht="15" customHeight="1" x14ac:dyDescent="0.35">
      <c r="B360" s="297"/>
    </row>
    <row r="361" spans="2:2" ht="15" customHeight="1" x14ac:dyDescent="0.35">
      <c r="B361" s="297"/>
    </row>
    <row r="362" spans="2:2" ht="15" customHeight="1" x14ac:dyDescent="0.35">
      <c r="B362" s="297"/>
    </row>
    <row r="363" spans="2:2" ht="15" customHeight="1" x14ac:dyDescent="0.35">
      <c r="B363" s="297"/>
    </row>
    <row r="364" spans="2:2" ht="15" customHeight="1" x14ac:dyDescent="0.35">
      <c r="B364" s="297"/>
    </row>
    <row r="365" spans="2:2" ht="15" customHeight="1" x14ac:dyDescent="0.35">
      <c r="B365" s="297"/>
    </row>
    <row r="366" spans="2:2" ht="15" customHeight="1" x14ac:dyDescent="0.35">
      <c r="B366" s="297"/>
    </row>
    <row r="367" spans="2:2" ht="15" customHeight="1" x14ac:dyDescent="0.35">
      <c r="B367" s="297"/>
    </row>
    <row r="368" spans="2:2" ht="15" customHeight="1" x14ac:dyDescent="0.35">
      <c r="B368" s="297"/>
    </row>
    <row r="369" spans="2:4" ht="15" customHeight="1" x14ac:dyDescent="0.35">
      <c r="B369" s="297"/>
    </row>
    <row r="370" spans="2:4" ht="15" customHeight="1" x14ac:dyDescent="0.35">
      <c r="B370" s="297"/>
    </row>
    <row r="371" spans="2:4" ht="15" customHeight="1" x14ac:dyDescent="0.35">
      <c r="B371" s="297"/>
    </row>
    <row r="372" spans="2:4" ht="15" customHeight="1" x14ac:dyDescent="0.35">
      <c r="B372" s="297"/>
    </row>
    <row r="373" spans="2:4" ht="15" customHeight="1" x14ac:dyDescent="0.35">
      <c r="B373" s="297"/>
    </row>
    <row r="374" spans="2:4" ht="15" customHeight="1" x14ac:dyDescent="0.35">
      <c r="B374" s="297"/>
    </row>
    <row r="375" spans="2:4" ht="15" customHeight="1" x14ac:dyDescent="0.35">
      <c r="B375" s="297"/>
    </row>
    <row r="376" spans="2:4" ht="15" customHeight="1" x14ac:dyDescent="0.35">
      <c r="B376" s="297"/>
    </row>
    <row r="377" spans="2:4" ht="45" customHeight="1" x14ac:dyDescent="0.3">
      <c r="B377" s="288" t="s">
        <v>360</v>
      </c>
      <c r="C377" s="290" t="s">
        <v>317</v>
      </c>
      <c r="D377" s="290" t="s">
        <v>575</v>
      </c>
    </row>
    <row r="378" spans="2:4" ht="15" customHeight="1" x14ac:dyDescent="0.2">
      <c r="B378" s="298" t="s">
        <v>318</v>
      </c>
      <c r="C378" s="208">
        <f>Planteavl2018!$AE$10</f>
        <v>10041.620786314352</v>
      </c>
      <c r="D378" s="208"/>
    </row>
    <row r="379" spans="2:4" ht="15" customHeight="1" x14ac:dyDescent="0.2">
      <c r="B379" s="298" t="s">
        <v>319</v>
      </c>
      <c r="C379" s="208"/>
      <c r="D379" s="208">
        <f>Planteavl2018!$AE$11</f>
        <v>0</v>
      </c>
    </row>
    <row r="380" spans="2:4" ht="15" customHeight="1" x14ac:dyDescent="0.2">
      <c r="B380" s="298" t="s">
        <v>320</v>
      </c>
      <c r="C380" s="208">
        <f>Planteavl2018!$AE$13</f>
        <v>14569.773428571429</v>
      </c>
      <c r="D380" s="208"/>
    </row>
    <row r="381" spans="2:4" ht="15" customHeight="1" x14ac:dyDescent="0.2">
      <c r="B381" s="298" t="s">
        <v>321</v>
      </c>
      <c r="C381" s="208"/>
      <c r="D381" s="208">
        <f>-Planteavl2018!$AE$14</f>
        <v>2079.4695428571426</v>
      </c>
    </row>
    <row r="382" spans="2:4" ht="15" customHeight="1" x14ac:dyDescent="0.2">
      <c r="B382" s="298" t="s">
        <v>322</v>
      </c>
      <c r="C382" s="208">
        <f>Planteavl2018!$AE$15</f>
        <v>18.043048571428574</v>
      </c>
      <c r="D382" s="208"/>
    </row>
    <row r="383" spans="2:4" ht="15" customHeight="1" x14ac:dyDescent="0.2">
      <c r="B383" s="298" t="s">
        <v>323</v>
      </c>
      <c r="C383" s="208">
        <f>Planteavl2018!$AE$16</f>
        <v>17387.678031428575</v>
      </c>
      <c r="D383" s="208"/>
    </row>
    <row r="384" spans="2:4" ht="15" customHeight="1" x14ac:dyDescent="0.2">
      <c r="B384" s="298" t="s">
        <v>324</v>
      </c>
      <c r="C384" s="208">
        <f>Planteavl2018!$AE$17</f>
        <v>24813.888691428572</v>
      </c>
      <c r="D384" s="208"/>
    </row>
    <row r="385" spans="2:4" ht="15" customHeight="1" x14ac:dyDescent="0.2">
      <c r="B385" s="298" t="s">
        <v>325</v>
      </c>
      <c r="C385" s="208">
        <f>Planteavl2018!$AE$18</f>
        <v>2906.2318241705912</v>
      </c>
      <c r="D385" s="208"/>
    </row>
    <row r="386" spans="2:4" ht="15" customHeight="1" x14ac:dyDescent="0.2">
      <c r="B386" s="298" t="s">
        <v>256</v>
      </c>
      <c r="C386" s="208">
        <f>Planteavl2018!$AE$19</f>
        <v>3551.2587628571428</v>
      </c>
      <c r="D386" s="208"/>
    </row>
    <row r="387" spans="2:4" ht="15" customHeight="1" x14ac:dyDescent="0.2">
      <c r="B387" s="298" t="s">
        <v>326</v>
      </c>
      <c r="C387" s="208">
        <f>Planteavl2018!$AE$20</f>
        <v>7912.7946385714285</v>
      </c>
      <c r="D387" s="208"/>
    </row>
    <row r="388" spans="2:4" ht="15" customHeight="1" x14ac:dyDescent="0.35">
      <c r="B388" s="298" t="s">
        <v>597</v>
      </c>
      <c r="C388" s="208">
        <f>Planteavl2018!$AE$21</f>
        <v>3987.7038634953783</v>
      </c>
      <c r="D388" s="208"/>
    </row>
    <row r="389" spans="2:4" ht="15" customHeight="1" x14ac:dyDescent="0.2">
      <c r="B389" s="298" t="s">
        <v>327</v>
      </c>
      <c r="C389" s="208">
        <f>Planteavl2018!$AE$22</f>
        <v>23.157004765770438</v>
      </c>
      <c r="D389" s="208"/>
    </row>
    <row r="390" spans="2:4" ht="15" customHeight="1" x14ac:dyDescent="0.3">
      <c r="B390" s="298" t="s">
        <v>462</v>
      </c>
      <c r="C390" s="208">
        <f>Planteavl2018!$AE$23</f>
        <v>47.715617714732225</v>
      </c>
      <c r="D390" s="208"/>
    </row>
    <row r="391" spans="2:4" ht="15" customHeight="1" x14ac:dyDescent="0.35">
      <c r="B391" s="297"/>
    </row>
    <row r="392" spans="2:4" ht="15" customHeight="1" x14ac:dyDescent="0.35">
      <c r="B392" s="297"/>
    </row>
    <row r="393" spans="2:4" ht="15" customHeight="1" x14ac:dyDescent="0.35">
      <c r="B393" s="297"/>
    </row>
    <row r="394" spans="2:4" ht="15" customHeight="1" x14ac:dyDescent="0.35">
      <c r="B394" s="297"/>
    </row>
    <row r="395" spans="2:4" ht="15" customHeight="1" x14ac:dyDescent="0.35">
      <c r="B395" s="297"/>
    </row>
    <row r="396" spans="2:4" ht="15" customHeight="1" x14ac:dyDescent="0.35">
      <c r="B396" s="297"/>
    </row>
    <row r="397" spans="2:4" ht="15" customHeight="1" x14ac:dyDescent="0.35">
      <c r="B397" s="297"/>
    </row>
    <row r="398" spans="2:4" ht="15" customHeight="1" x14ac:dyDescent="0.35">
      <c r="B398" s="297"/>
    </row>
    <row r="399" spans="2:4" ht="15" customHeight="1" x14ac:dyDescent="0.35">
      <c r="B399" s="297"/>
    </row>
    <row r="400" spans="2:4" ht="15" customHeight="1" x14ac:dyDescent="0.35">
      <c r="B400" s="297"/>
    </row>
    <row r="401" spans="1:19" ht="15" customHeight="1" x14ac:dyDescent="0.35">
      <c r="B401" s="297"/>
    </row>
    <row r="402" spans="1:19" ht="15" customHeight="1" x14ac:dyDescent="0.35">
      <c r="B402" s="297"/>
    </row>
    <row r="403" spans="1:19" ht="15" customHeight="1" x14ac:dyDescent="0.35">
      <c r="B403" s="297"/>
    </row>
    <row r="404" spans="1:19" ht="15" customHeight="1" x14ac:dyDescent="0.35">
      <c r="B404" s="297"/>
    </row>
    <row r="405" spans="1:19" ht="15" customHeight="1" x14ac:dyDescent="0.35">
      <c r="B405" s="297"/>
    </row>
    <row r="406" spans="1:19" ht="15" customHeight="1" x14ac:dyDescent="0.35">
      <c r="B406" s="297"/>
    </row>
    <row r="407" spans="1:19" ht="15" customHeight="1" x14ac:dyDescent="0.35">
      <c r="B407" s="297"/>
    </row>
    <row r="408" spans="1:19" ht="15" customHeight="1" x14ac:dyDescent="0.35">
      <c r="B408" s="297"/>
    </row>
    <row r="409" spans="1:19" ht="15" customHeight="1" x14ac:dyDescent="0.35">
      <c r="B409" s="297"/>
    </row>
    <row r="410" spans="1:19" ht="15" customHeight="1" x14ac:dyDescent="0.35">
      <c r="B410" s="297"/>
    </row>
    <row r="411" spans="1:19" ht="15" customHeight="1" x14ac:dyDescent="0.35">
      <c r="B411" s="297"/>
    </row>
    <row r="412" spans="1:19" ht="15" customHeight="1" x14ac:dyDescent="0.35">
      <c r="B412" s="297"/>
    </row>
    <row r="413" spans="1:19" ht="15" customHeight="1" x14ac:dyDescent="0.35">
      <c r="B413" s="297"/>
    </row>
    <row r="414" spans="1:19" ht="15" customHeight="1" x14ac:dyDescent="0.35">
      <c r="B414" s="297"/>
    </row>
    <row r="415" spans="1:19" ht="36" customHeight="1" x14ac:dyDescent="0.2">
      <c r="A415" s="196"/>
      <c r="B415" s="335" t="s">
        <v>241</v>
      </c>
      <c r="C415" s="196"/>
      <c r="D415" s="196"/>
      <c r="E415" s="196"/>
      <c r="F415" s="196"/>
      <c r="G415" s="196"/>
      <c r="H415" s="196"/>
      <c r="I415" s="196"/>
      <c r="J415" s="196"/>
      <c r="K415" s="196"/>
      <c r="L415" s="196"/>
      <c r="M415" s="196"/>
      <c r="N415" s="196"/>
      <c r="O415" s="196"/>
      <c r="P415" s="196"/>
      <c r="Q415" s="196"/>
      <c r="R415" s="196"/>
      <c r="S415" s="196"/>
    </row>
    <row r="417" spans="2:3" ht="15" thickBot="1" x14ac:dyDescent="0.25"/>
    <row r="418" spans="2:3" ht="37.5" customHeight="1" thickBot="1" x14ac:dyDescent="0.3">
      <c r="B418" s="299" t="s">
        <v>598</v>
      </c>
      <c r="C418" s="300">
        <v>2018</v>
      </c>
    </row>
    <row r="419" spans="2:3" ht="15" x14ac:dyDescent="0.25">
      <c r="B419" s="301" t="s">
        <v>328</v>
      </c>
      <c r="C419" s="302">
        <f>SUM('Industrielle processer 2018'!N11:N19)</f>
        <v>1283.6640562588968</v>
      </c>
    </row>
    <row r="420" spans="2:3" ht="15" x14ac:dyDescent="0.25">
      <c r="B420" s="303" t="s">
        <v>329</v>
      </c>
      <c r="C420" s="304">
        <f>SUM('Industrielle processer 2018'!N20:N23)</f>
        <v>9.4505939099365062</v>
      </c>
    </row>
    <row r="421" spans="2:3" ht="15" x14ac:dyDescent="0.25">
      <c r="B421" s="303" t="s">
        <v>330</v>
      </c>
      <c r="C421" s="305">
        <f>SUM('Industrielle processer 2018'!N24)</f>
        <v>0.95621523540672904</v>
      </c>
    </row>
    <row r="422" spans="2:3" ht="15" x14ac:dyDescent="0.25">
      <c r="B422" s="303" t="s">
        <v>331</v>
      </c>
      <c r="C422" s="304">
        <f>SUM('Industrielle processer 2018'!N25:N30)</f>
        <v>1270.2266558406068</v>
      </c>
    </row>
    <row r="423" spans="2:3" ht="15" x14ac:dyDescent="0.25">
      <c r="B423" s="303" t="s">
        <v>332</v>
      </c>
      <c r="C423" s="304">
        <f>SUM('Industrielle processer 2018'!N31:N32)</f>
        <v>0</v>
      </c>
    </row>
    <row r="424" spans="2:3" ht="15" x14ac:dyDescent="0.25">
      <c r="B424" s="303" t="s">
        <v>333</v>
      </c>
      <c r="C424" s="304">
        <f>SUM('Industrielle processer 2018'!N33:N35)</f>
        <v>4661.1508495930511</v>
      </c>
    </row>
    <row r="425" spans="2:3" ht="15.75" thickBot="1" x14ac:dyDescent="0.3">
      <c r="B425" s="306" t="s">
        <v>334</v>
      </c>
      <c r="C425" s="307">
        <f>SUM('Industrielle processer 2018'!N36:N41)</f>
        <v>183.04047708831271</v>
      </c>
    </row>
    <row r="426" spans="2:3" ht="15.75" thickBot="1" x14ac:dyDescent="0.3">
      <c r="B426" s="308" t="s">
        <v>335</v>
      </c>
      <c r="C426" s="309">
        <f>SUM(C419:C425)</f>
        <v>7408.4888479262099</v>
      </c>
    </row>
    <row r="446" ht="14.25" customHeight="1" x14ac:dyDescent="0.2"/>
    <row r="453" spans="2:6" ht="15" thickBot="1" x14ac:dyDescent="0.25"/>
    <row r="454" spans="2:6" ht="15" x14ac:dyDescent="0.25">
      <c r="B454" s="740" t="s">
        <v>361</v>
      </c>
      <c r="C454" s="742">
        <v>2018</v>
      </c>
      <c r="D454" s="743"/>
      <c r="E454" s="743"/>
      <c r="F454" s="744"/>
    </row>
    <row r="455" spans="2:6" ht="18.75" thickBot="1" x14ac:dyDescent="0.4">
      <c r="B455" s="741"/>
      <c r="C455" s="310" t="s">
        <v>336</v>
      </c>
      <c r="D455" s="310" t="s">
        <v>337</v>
      </c>
      <c r="E455" s="311" t="s">
        <v>338</v>
      </c>
      <c r="F455" s="312" t="s">
        <v>339</v>
      </c>
    </row>
    <row r="456" spans="2:6" ht="15" x14ac:dyDescent="0.25">
      <c r="B456" s="313" t="s">
        <v>328</v>
      </c>
      <c r="C456" s="314">
        <f>SUM('Industrielle processer 2018'!J11:J19)</f>
        <v>1283.6640562588968</v>
      </c>
      <c r="D456" s="314">
        <f>SUM('Industrielle processer 2018'!K11:K19)</f>
        <v>0</v>
      </c>
      <c r="E456" s="314">
        <f>SUM('Industrielle processer 2018'!L11:L19)</f>
        <v>0</v>
      </c>
      <c r="F456" s="314">
        <f>SUM('Industrielle processer 2018'!M11:M19)</f>
        <v>0</v>
      </c>
    </row>
    <row r="457" spans="2:6" ht="15" x14ac:dyDescent="0.25">
      <c r="B457" s="315" t="s">
        <v>329</v>
      </c>
      <c r="C457" s="316">
        <f>SUM('Industrielle processer 2018'!J20:J23)</f>
        <v>9.4505939099365062</v>
      </c>
      <c r="D457" s="316">
        <f>SUM('Industrielle processer 2018'!K20:K23)</f>
        <v>0</v>
      </c>
      <c r="E457" s="316">
        <f>SUM('Industrielle processer 2018'!L20:L23)</f>
        <v>0</v>
      </c>
      <c r="F457" s="316">
        <f>SUM('Industrielle processer 2018'!M20:M23)</f>
        <v>0</v>
      </c>
    </row>
    <row r="458" spans="2:6" ht="15" x14ac:dyDescent="0.25">
      <c r="B458" s="315" t="s">
        <v>330</v>
      </c>
      <c r="C458" s="316">
        <f>SUM('Industrielle processer 2018'!J24)</f>
        <v>0.95621523540672904</v>
      </c>
      <c r="D458" s="316">
        <f>SUM('Industrielle processer 2018'!K24)</f>
        <v>0</v>
      </c>
      <c r="E458" s="316">
        <f>SUM('Industrielle processer 2018'!L24)</f>
        <v>0</v>
      </c>
      <c r="F458" s="316">
        <f>SUM('Industrielle processer 2018'!M24)</f>
        <v>0</v>
      </c>
    </row>
    <row r="459" spans="2:6" ht="15" x14ac:dyDescent="0.25">
      <c r="B459" s="315" t="s">
        <v>331</v>
      </c>
      <c r="C459" s="316">
        <f>SUM('Industrielle processer 2018'!J25:J30)</f>
        <v>1265.0013239776338</v>
      </c>
      <c r="D459" s="316">
        <f>SUM('Industrielle processer 2018'!K25:K30)</f>
        <v>0.16278263930079412</v>
      </c>
      <c r="E459" s="316">
        <f>SUM('Industrielle processer 2018'!L25:L30)</f>
        <v>3.8784089948096937E-3</v>
      </c>
      <c r="F459" s="316">
        <f>SUM('Industrielle processer 2018'!M25:M30)</f>
        <v>0</v>
      </c>
    </row>
    <row r="460" spans="2:6" ht="15" x14ac:dyDescent="0.25">
      <c r="B460" s="315" t="s">
        <v>332</v>
      </c>
      <c r="C460" s="316">
        <f>SUM('Industrielle processer 2018'!J31:J32)</f>
        <v>0</v>
      </c>
      <c r="D460" s="316">
        <f>SUM('Industrielle processer 2018'!K31:K32)</f>
        <v>0</v>
      </c>
      <c r="E460" s="316">
        <f>SUM('Industrielle processer 2018'!L31:L32)</f>
        <v>0</v>
      </c>
      <c r="F460" s="316">
        <f>SUM('Industrielle processer 2018'!M31:M32)</f>
        <v>0</v>
      </c>
    </row>
    <row r="461" spans="2:6" ht="15" x14ac:dyDescent="0.25">
      <c r="B461" s="315" t="s">
        <v>333</v>
      </c>
      <c r="C461" s="316">
        <f>SUM('Industrielle processer 2018'!J33:J35)</f>
        <v>0</v>
      </c>
      <c r="D461" s="316">
        <f>SUM('Industrielle processer 2018'!K33:K35)</f>
        <v>0</v>
      </c>
      <c r="E461" s="316">
        <f>SUM('Industrielle processer 2018'!L33:L35)</f>
        <v>0</v>
      </c>
      <c r="F461" s="316">
        <f>SUM('Industrielle processer 2018'!M33:M35)</f>
        <v>4661.1508495930511</v>
      </c>
    </row>
    <row r="462" spans="2:6" ht="15.75" thickBot="1" x14ac:dyDescent="0.3">
      <c r="B462" s="317" t="s">
        <v>334</v>
      </c>
      <c r="C462" s="318">
        <f>SUM('Industrielle processer 2018'!J36:J41)</f>
        <v>1.9857403055279745</v>
      </c>
      <c r="D462" s="318">
        <f>SUM('Industrielle processer 2018'!K36:K41)</f>
        <v>0.57528107857110267</v>
      </c>
      <c r="E462" s="318">
        <f>SUM('Industrielle processer 2018'!L36:L41)</f>
        <v>0.55930439536411802</v>
      </c>
      <c r="F462" s="318">
        <f>SUM('Industrielle processer 2018'!M36:M41)</f>
        <v>0</v>
      </c>
    </row>
    <row r="463" spans="2:6" ht="15.75" thickBot="1" x14ac:dyDescent="0.3">
      <c r="B463" s="319" t="s">
        <v>335</v>
      </c>
      <c r="C463" s="320">
        <f>SUM(C456:C462)</f>
        <v>2561.0579296874016</v>
      </c>
      <c r="D463" s="320">
        <f>SUM(D456:D462)</f>
        <v>0.73806371787189673</v>
      </c>
      <c r="E463" s="321">
        <f>SUM(E456:E462)</f>
        <v>0.56318280435892776</v>
      </c>
      <c r="F463" s="244">
        <f>SUM(F456:F462)</f>
        <v>4661.1508495930511</v>
      </c>
    </row>
    <row r="487" spans="1:19" ht="15" x14ac:dyDescent="0.25">
      <c r="A487" s="281"/>
      <c r="F487" s="281"/>
      <c r="G487" s="281"/>
      <c r="H487" s="281"/>
      <c r="I487" s="281"/>
      <c r="J487" s="281"/>
      <c r="K487" s="281"/>
      <c r="L487" s="281"/>
      <c r="M487" s="281"/>
      <c r="N487" s="281"/>
      <c r="O487" s="281"/>
      <c r="P487" s="281"/>
      <c r="Q487" s="281"/>
      <c r="R487" s="281"/>
      <c r="S487" s="281"/>
    </row>
    <row r="488" spans="1:19" ht="35.25" customHeight="1" x14ac:dyDescent="0.2">
      <c r="A488" s="196"/>
      <c r="B488" s="335" t="s">
        <v>248</v>
      </c>
      <c r="C488" s="196"/>
      <c r="D488" s="196"/>
      <c r="E488" s="196"/>
      <c r="F488" s="196"/>
      <c r="G488" s="196"/>
      <c r="H488" s="196"/>
      <c r="I488" s="196"/>
      <c r="J488" s="196"/>
      <c r="K488" s="196"/>
      <c r="L488" s="196"/>
      <c r="M488" s="196"/>
      <c r="N488" s="196"/>
      <c r="O488" s="196"/>
      <c r="P488" s="196"/>
      <c r="Q488" s="196"/>
      <c r="R488" s="196"/>
      <c r="S488" s="196"/>
    </row>
    <row r="489" spans="1:19" ht="15" x14ac:dyDescent="0.25">
      <c r="A489" s="281"/>
      <c r="B489" s="281"/>
      <c r="C489" s="281"/>
      <c r="D489" s="281"/>
      <c r="E489" s="281"/>
      <c r="F489" s="281"/>
      <c r="G489" s="281"/>
      <c r="H489" s="281"/>
      <c r="I489" s="281"/>
      <c r="J489" s="281"/>
      <c r="K489" s="281"/>
      <c r="L489" s="281"/>
      <c r="M489" s="281"/>
      <c r="N489" s="281"/>
      <c r="O489" s="281"/>
      <c r="P489" s="281"/>
      <c r="Q489" s="281"/>
      <c r="R489" s="281"/>
      <c r="S489" s="281"/>
    </row>
    <row r="490" spans="1:19" ht="15.75" thickBot="1" x14ac:dyDescent="0.3">
      <c r="A490" s="281"/>
      <c r="F490" s="281"/>
      <c r="G490" s="271"/>
      <c r="H490" s="281"/>
      <c r="I490" s="281"/>
      <c r="J490" s="281"/>
      <c r="K490" s="281"/>
      <c r="L490" s="281"/>
      <c r="M490" s="281"/>
      <c r="N490" s="281"/>
      <c r="O490" s="281"/>
      <c r="P490" s="281"/>
      <c r="Q490" s="281"/>
      <c r="R490" s="281"/>
      <c r="S490" s="281"/>
    </row>
    <row r="491" spans="1:19" ht="54" customHeight="1" thickBot="1" x14ac:dyDescent="0.3">
      <c r="A491" s="281"/>
      <c r="B491" s="299" t="s">
        <v>599</v>
      </c>
      <c r="C491" s="300">
        <v>2018</v>
      </c>
      <c r="F491" s="337"/>
      <c r="G491" s="337"/>
      <c r="H491" s="337"/>
      <c r="I491" s="337"/>
      <c r="J491" s="337"/>
      <c r="K491" s="337"/>
      <c r="L491" s="281"/>
      <c r="M491" s="281"/>
      <c r="N491" s="281"/>
      <c r="O491" s="281"/>
      <c r="P491" s="281"/>
      <c r="Q491" s="281"/>
      <c r="R491" s="281"/>
      <c r="S491" s="281"/>
    </row>
    <row r="492" spans="1:19" ht="15" x14ac:dyDescent="0.25">
      <c r="A492" s="281"/>
      <c r="B492" s="324" t="s">
        <v>345</v>
      </c>
      <c r="C492" s="302">
        <f>SUBTOTAL(9,'Affald og spildevand 2018'!K12:K18)</f>
        <v>8074.2653325694801</v>
      </c>
      <c r="F492" s="337"/>
      <c r="G492" s="337"/>
      <c r="H492" s="337"/>
      <c r="I492" s="337"/>
      <c r="J492" s="337"/>
      <c r="K492" s="337"/>
      <c r="L492" s="281"/>
      <c r="M492" s="281"/>
      <c r="N492" s="281"/>
      <c r="O492" s="281"/>
      <c r="P492" s="281"/>
      <c r="Q492" s="281"/>
      <c r="R492" s="281"/>
      <c r="S492" s="281"/>
    </row>
    <row r="493" spans="1:19" ht="15" x14ac:dyDescent="0.25">
      <c r="A493" s="281"/>
      <c r="B493" s="327" t="s">
        <v>340</v>
      </c>
      <c r="C493" s="328">
        <f>SUBTOTAL(9,'Affald og spildevand 2018'!K17:K18)</f>
        <v>47.611471269732533</v>
      </c>
      <c r="F493" s="337"/>
      <c r="G493" s="337"/>
      <c r="H493" s="337"/>
      <c r="I493" s="337"/>
      <c r="J493" s="337"/>
      <c r="K493" s="337"/>
      <c r="L493" s="281"/>
      <c r="M493" s="281"/>
      <c r="N493" s="281"/>
      <c r="O493" s="281"/>
      <c r="P493" s="281"/>
      <c r="Q493" s="281"/>
      <c r="R493" s="281"/>
      <c r="S493" s="281"/>
    </row>
    <row r="494" spans="1:19" ht="15" x14ac:dyDescent="0.25">
      <c r="A494" s="281"/>
      <c r="B494" s="327" t="s">
        <v>341</v>
      </c>
      <c r="C494" s="328">
        <f>SUBTOTAL(9,'Affald og spildevand 2018'!K15:K16)</f>
        <v>3525.0703255365106</v>
      </c>
      <c r="F494" s="337"/>
      <c r="G494" s="337"/>
      <c r="H494" s="337"/>
      <c r="I494" s="337"/>
      <c r="J494" s="337"/>
      <c r="K494" s="337"/>
      <c r="L494" s="281"/>
      <c r="M494" s="281"/>
      <c r="N494" s="281"/>
      <c r="O494" s="281"/>
      <c r="P494" s="281"/>
      <c r="Q494" s="281"/>
      <c r="R494" s="281"/>
      <c r="S494" s="281"/>
    </row>
    <row r="495" spans="1:19" ht="15" x14ac:dyDescent="0.25">
      <c r="A495" s="281"/>
      <c r="B495" s="327" t="s">
        <v>342</v>
      </c>
      <c r="C495" s="328">
        <f>SUBTOTAL(9,'Affald og spildevand 2018'!K12:K14)</f>
        <v>4501.5835357632368</v>
      </c>
      <c r="F495" s="281"/>
      <c r="G495" s="281"/>
      <c r="H495" s="281"/>
      <c r="I495" s="281"/>
      <c r="J495" s="281"/>
      <c r="K495" s="281"/>
      <c r="L495" s="281"/>
      <c r="M495" s="281"/>
      <c r="N495" s="281"/>
      <c r="O495" s="281"/>
      <c r="P495" s="281"/>
      <c r="Q495" s="281"/>
      <c r="R495" s="281"/>
      <c r="S495" s="281"/>
    </row>
    <row r="496" spans="1:19" ht="15" x14ac:dyDescent="0.25">
      <c r="A496" s="281"/>
      <c r="B496" s="331" t="s">
        <v>343</v>
      </c>
      <c r="C496" s="304">
        <f>SUBTOTAL(9,'Affald og spildevand 2018'!K20:K22)</f>
        <v>964.65335386871925</v>
      </c>
      <c r="F496" s="281"/>
      <c r="G496" s="281"/>
      <c r="H496" s="281"/>
      <c r="I496" s="281"/>
      <c r="J496" s="281"/>
      <c r="K496" s="281"/>
      <c r="L496" s="281"/>
      <c r="M496" s="281"/>
      <c r="N496" s="281"/>
      <c r="O496" s="281"/>
      <c r="P496" s="281"/>
      <c r="Q496" s="281"/>
      <c r="R496" s="281"/>
      <c r="S496" s="281"/>
    </row>
    <row r="497" spans="1:19" ht="15.75" thickBot="1" x14ac:dyDescent="0.3">
      <c r="A497" s="281"/>
      <c r="B497" s="332" t="s">
        <v>346</v>
      </c>
      <c r="C497" s="333">
        <f>SUBTOTAL(9,'Affald og spildevand 2018'!K24:K25)</f>
        <v>159.82739236808726</v>
      </c>
      <c r="F497" s="281"/>
      <c r="G497" s="281"/>
      <c r="H497" s="281"/>
      <c r="I497" s="281"/>
      <c r="J497" s="281"/>
      <c r="K497" s="281"/>
      <c r="L497" s="281"/>
      <c r="M497" s="281"/>
      <c r="N497" s="281"/>
      <c r="O497" s="281"/>
      <c r="P497" s="281"/>
      <c r="Q497" s="281"/>
      <c r="R497" s="281"/>
      <c r="S497" s="281"/>
    </row>
    <row r="498" spans="1:19" ht="15.75" thickBot="1" x14ac:dyDescent="0.3">
      <c r="A498" s="281"/>
      <c r="B498" s="262" t="s">
        <v>249</v>
      </c>
      <c r="C498" s="263">
        <f>C492+C496+C497</f>
        <v>9198.7460788062872</v>
      </c>
      <c r="F498" s="281"/>
      <c r="G498" s="281"/>
      <c r="H498" s="281"/>
      <c r="I498" s="281"/>
      <c r="J498" s="281"/>
      <c r="K498" s="281"/>
      <c r="L498" s="281"/>
      <c r="M498" s="281"/>
      <c r="N498" s="281"/>
      <c r="O498" s="281"/>
      <c r="P498" s="281"/>
      <c r="Q498" s="281"/>
      <c r="R498" s="281"/>
      <c r="S498" s="281"/>
    </row>
    <row r="499" spans="1:19" ht="15" x14ac:dyDescent="0.25">
      <c r="A499" s="281"/>
      <c r="F499" s="281"/>
      <c r="G499" s="281"/>
      <c r="H499" s="281"/>
      <c r="I499" s="281"/>
      <c r="J499" s="281"/>
      <c r="K499" s="281"/>
      <c r="L499" s="281"/>
      <c r="M499" s="281"/>
      <c r="N499" s="281"/>
      <c r="O499" s="281"/>
      <c r="P499" s="281"/>
      <c r="Q499" s="281"/>
      <c r="R499" s="281"/>
      <c r="S499" s="281"/>
    </row>
    <row r="500" spans="1:19" ht="15" x14ac:dyDescent="0.25">
      <c r="A500" s="281"/>
      <c r="G500" s="281"/>
      <c r="H500" s="281"/>
      <c r="I500" s="281"/>
      <c r="J500" s="281"/>
      <c r="K500" s="281"/>
      <c r="L500" s="281"/>
      <c r="M500" s="281"/>
      <c r="N500" s="281"/>
      <c r="O500" s="281"/>
      <c r="P500" s="281"/>
      <c r="Q500" s="281"/>
      <c r="R500" s="281"/>
      <c r="S500" s="281"/>
    </row>
    <row r="501" spans="1:19" ht="15" x14ac:dyDescent="0.25">
      <c r="A501" s="281"/>
      <c r="G501" s="281"/>
      <c r="H501" s="281"/>
      <c r="I501" s="281"/>
      <c r="J501" s="281"/>
      <c r="K501" s="281"/>
      <c r="L501" s="281"/>
      <c r="M501" s="281"/>
      <c r="N501" s="281"/>
      <c r="O501" s="281"/>
      <c r="P501" s="281"/>
      <c r="Q501" s="281"/>
      <c r="R501" s="281"/>
      <c r="S501" s="281"/>
    </row>
    <row r="502" spans="1:19" ht="15" x14ac:dyDescent="0.25">
      <c r="A502" s="281"/>
      <c r="G502" s="281"/>
      <c r="H502" s="281"/>
      <c r="I502" s="281"/>
      <c r="J502" s="281"/>
      <c r="K502" s="281"/>
      <c r="L502" s="281"/>
      <c r="M502" s="281"/>
      <c r="N502" s="281"/>
      <c r="O502" s="281"/>
      <c r="P502" s="281"/>
      <c r="Q502" s="281"/>
      <c r="R502" s="281"/>
      <c r="S502" s="281"/>
    </row>
    <row r="503" spans="1:19" ht="15" x14ac:dyDescent="0.25">
      <c r="A503" s="281"/>
      <c r="G503" s="281"/>
      <c r="H503" s="281"/>
      <c r="I503" s="281"/>
      <c r="J503" s="281"/>
      <c r="K503" s="281"/>
      <c r="L503" s="281"/>
      <c r="M503" s="281"/>
      <c r="N503" s="281"/>
      <c r="O503" s="281"/>
      <c r="P503" s="281"/>
      <c r="Q503" s="281"/>
      <c r="R503" s="281"/>
      <c r="S503" s="281"/>
    </row>
    <row r="504" spans="1:19" ht="15" x14ac:dyDescent="0.25">
      <c r="A504" s="281"/>
      <c r="G504" s="281"/>
      <c r="H504" s="281"/>
      <c r="I504" s="281"/>
      <c r="J504" s="281"/>
      <c r="K504" s="281"/>
      <c r="L504" s="281"/>
      <c r="M504" s="281"/>
      <c r="N504" s="281"/>
      <c r="O504" s="281"/>
      <c r="P504" s="281"/>
      <c r="Q504" s="281"/>
      <c r="R504" s="281"/>
      <c r="S504" s="281"/>
    </row>
    <row r="505" spans="1:19" ht="15" x14ac:dyDescent="0.25">
      <c r="A505" s="281"/>
      <c r="G505" s="281"/>
      <c r="H505" s="281"/>
      <c r="I505" s="281"/>
      <c r="J505" s="281"/>
      <c r="K505" s="281"/>
      <c r="L505" s="281"/>
      <c r="M505" s="281"/>
      <c r="N505" s="281"/>
      <c r="O505" s="281"/>
      <c r="P505" s="281"/>
      <c r="Q505" s="281"/>
      <c r="R505" s="281"/>
      <c r="S505" s="281"/>
    </row>
    <row r="506" spans="1:19" ht="15" x14ac:dyDescent="0.25">
      <c r="A506" s="281"/>
      <c r="G506" s="281"/>
      <c r="H506" s="281"/>
      <c r="I506" s="281"/>
      <c r="J506" s="281"/>
      <c r="K506" s="281"/>
      <c r="L506" s="281"/>
      <c r="M506" s="281"/>
      <c r="N506" s="281"/>
      <c r="O506" s="281"/>
      <c r="P506" s="281"/>
      <c r="Q506" s="281"/>
      <c r="R506" s="281"/>
      <c r="S506" s="281"/>
    </row>
    <row r="507" spans="1:19" ht="15" x14ac:dyDescent="0.25">
      <c r="A507" s="281"/>
      <c r="G507" s="281"/>
      <c r="H507" s="281"/>
      <c r="I507" s="281"/>
      <c r="J507" s="281"/>
      <c r="K507" s="281"/>
      <c r="L507" s="281"/>
      <c r="M507" s="281"/>
      <c r="N507" s="281"/>
      <c r="O507" s="281"/>
      <c r="P507" s="281"/>
      <c r="Q507" s="281"/>
      <c r="R507" s="281"/>
      <c r="S507" s="281"/>
    </row>
    <row r="508" spans="1:19" ht="15" x14ac:dyDescent="0.25">
      <c r="A508" s="281"/>
      <c r="G508" s="281"/>
      <c r="H508" s="281"/>
      <c r="I508" s="281"/>
      <c r="J508" s="281"/>
      <c r="K508" s="281"/>
      <c r="L508" s="281"/>
      <c r="M508" s="281"/>
      <c r="N508" s="281"/>
      <c r="O508" s="281"/>
      <c r="P508" s="281"/>
      <c r="Q508" s="281"/>
      <c r="R508" s="281"/>
      <c r="S508" s="281"/>
    </row>
    <row r="509" spans="1:19" ht="15" x14ac:dyDescent="0.25">
      <c r="A509" s="281"/>
      <c r="G509" s="281"/>
      <c r="H509" s="281"/>
      <c r="I509" s="281"/>
      <c r="J509" s="281"/>
      <c r="K509" s="281"/>
      <c r="L509" s="281"/>
      <c r="M509" s="281"/>
      <c r="N509" s="281"/>
      <c r="O509" s="281"/>
      <c r="P509" s="281"/>
      <c r="Q509" s="281"/>
      <c r="R509" s="281"/>
      <c r="S509" s="281"/>
    </row>
    <row r="522" spans="1:19" ht="30" x14ac:dyDescent="0.25">
      <c r="B522" s="322"/>
      <c r="C522" s="323" t="s">
        <v>340</v>
      </c>
      <c r="D522" s="323" t="s">
        <v>341</v>
      </c>
      <c r="E522" s="323" t="s">
        <v>342</v>
      </c>
      <c r="F522" s="323" t="s">
        <v>343</v>
      </c>
      <c r="G522" s="323" t="s">
        <v>344</v>
      </c>
    </row>
    <row r="523" spans="1:19" ht="15" x14ac:dyDescent="0.25">
      <c r="B523" s="325" t="s">
        <v>345</v>
      </c>
      <c r="C523" s="316">
        <f>$C$493</f>
        <v>47.611471269732533</v>
      </c>
      <c r="D523" s="316">
        <f>$C$494</f>
        <v>3525.0703255365106</v>
      </c>
      <c r="E523" s="316">
        <f>$C$495</f>
        <v>4501.5835357632368</v>
      </c>
      <c r="F523" s="326"/>
      <c r="G523" s="326"/>
    </row>
    <row r="524" spans="1:19" ht="15" x14ac:dyDescent="0.25">
      <c r="B524" s="329" t="s">
        <v>343</v>
      </c>
      <c r="C524" s="330"/>
      <c r="D524" s="330"/>
      <c r="E524" s="330"/>
      <c r="F524" s="316">
        <f>$C$496</f>
        <v>964.65335386871925</v>
      </c>
      <c r="G524" s="316"/>
    </row>
    <row r="525" spans="1:19" ht="15" x14ac:dyDescent="0.25">
      <c r="B525" s="329" t="s">
        <v>346</v>
      </c>
      <c r="C525" s="330"/>
      <c r="D525" s="330"/>
      <c r="E525" s="330"/>
      <c r="F525" s="330"/>
      <c r="G525" s="316">
        <f>'Affald og spildevand 2018'!$K$24+'Affald og spildevand 2018'!$K$25</f>
        <v>159.82739236808726</v>
      </c>
    </row>
    <row r="526" spans="1:19" x14ac:dyDescent="0.2">
      <c r="A526" s="337"/>
      <c r="B526" s="337"/>
      <c r="C526" s="337"/>
      <c r="D526" s="337"/>
      <c r="E526" s="337"/>
      <c r="F526" s="337"/>
      <c r="G526" s="337"/>
      <c r="H526" s="337"/>
      <c r="I526" s="337"/>
      <c r="J526" s="337"/>
      <c r="K526" s="337"/>
      <c r="L526" s="337"/>
      <c r="M526" s="337"/>
      <c r="N526" s="337"/>
      <c r="O526" s="337"/>
      <c r="P526" s="337"/>
      <c r="Q526" s="337"/>
      <c r="R526" s="337"/>
      <c r="S526" s="337"/>
    </row>
    <row r="527" spans="1:19" x14ac:dyDescent="0.2">
      <c r="A527" s="337"/>
      <c r="B527" s="337"/>
      <c r="C527" s="337"/>
      <c r="D527" s="337"/>
      <c r="E527" s="337"/>
      <c r="F527" s="337"/>
      <c r="G527" s="337"/>
      <c r="H527" s="337"/>
      <c r="I527" s="337"/>
      <c r="J527" s="337"/>
      <c r="K527" s="337"/>
      <c r="L527" s="337"/>
      <c r="M527" s="337"/>
      <c r="N527" s="337"/>
      <c r="O527" s="337"/>
      <c r="P527" s="337"/>
      <c r="Q527" s="337"/>
      <c r="R527" s="337"/>
      <c r="S527" s="337"/>
    </row>
    <row r="528" spans="1:19" x14ac:dyDescent="0.2">
      <c r="A528" s="337"/>
      <c r="B528" s="337"/>
      <c r="C528" s="337"/>
      <c r="D528" s="337"/>
      <c r="E528" s="337"/>
      <c r="F528" s="337"/>
      <c r="G528" s="337"/>
      <c r="H528" s="337"/>
      <c r="I528" s="337"/>
      <c r="J528" s="337"/>
      <c r="K528" s="337"/>
      <c r="L528" s="337"/>
      <c r="M528" s="337"/>
      <c r="N528" s="337"/>
      <c r="O528" s="337"/>
      <c r="P528" s="337"/>
      <c r="Q528" s="337"/>
      <c r="R528" s="337"/>
      <c r="S528" s="337"/>
    </row>
    <row r="529" spans="1:19" x14ac:dyDescent="0.2">
      <c r="A529" s="337"/>
      <c r="B529" s="337"/>
      <c r="C529" s="337"/>
      <c r="D529" s="337"/>
      <c r="E529" s="337"/>
      <c r="F529" s="337"/>
      <c r="G529" s="337"/>
      <c r="H529" s="337"/>
      <c r="I529" s="337"/>
      <c r="J529" s="337"/>
      <c r="K529" s="337"/>
      <c r="L529" s="337"/>
      <c r="M529" s="337"/>
      <c r="N529" s="337"/>
      <c r="O529" s="337"/>
      <c r="P529" s="337"/>
      <c r="Q529" s="337"/>
      <c r="R529" s="337"/>
      <c r="S529" s="337"/>
    </row>
    <row r="530" spans="1:19" x14ac:dyDescent="0.2">
      <c r="A530" s="337"/>
      <c r="B530" s="337"/>
      <c r="C530" s="337"/>
      <c r="D530" s="337"/>
      <c r="E530" s="337"/>
      <c r="F530" s="337"/>
      <c r="G530" s="337"/>
      <c r="H530" s="337"/>
      <c r="I530" s="337"/>
      <c r="J530" s="337"/>
      <c r="K530" s="337"/>
      <c r="L530" s="337"/>
      <c r="M530" s="337"/>
      <c r="N530" s="337"/>
      <c r="O530" s="337"/>
      <c r="P530" s="337"/>
      <c r="Q530" s="337"/>
      <c r="R530" s="337"/>
      <c r="S530" s="337"/>
    </row>
    <row r="531" spans="1:19" x14ac:dyDescent="0.2">
      <c r="A531" s="337"/>
      <c r="B531" s="337"/>
      <c r="C531" s="337"/>
      <c r="D531" s="337"/>
      <c r="E531" s="337"/>
      <c r="F531" s="337"/>
      <c r="G531" s="337"/>
      <c r="H531" s="337"/>
      <c r="I531" s="337"/>
      <c r="J531" s="337"/>
      <c r="K531" s="337"/>
      <c r="L531" s="337"/>
      <c r="M531" s="337"/>
      <c r="N531" s="337"/>
      <c r="O531" s="337"/>
      <c r="P531" s="337"/>
      <c r="Q531" s="337"/>
      <c r="R531" s="337"/>
      <c r="S531" s="337"/>
    </row>
    <row r="532" spans="1:19" x14ac:dyDescent="0.2">
      <c r="A532" s="337"/>
      <c r="B532" s="337"/>
      <c r="C532" s="337"/>
      <c r="D532" s="337"/>
      <c r="E532" s="337"/>
      <c r="F532" s="337"/>
      <c r="G532" s="337"/>
      <c r="H532" s="337"/>
      <c r="I532" s="337"/>
      <c r="J532" s="337"/>
      <c r="K532" s="337"/>
      <c r="L532" s="337"/>
      <c r="M532" s="337"/>
      <c r="N532" s="337"/>
      <c r="O532" s="337"/>
      <c r="P532" s="337"/>
      <c r="Q532" s="337"/>
      <c r="R532" s="337"/>
      <c r="S532" s="337"/>
    </row>
    <row r="533" spans="1:19" x14ac:dyDescent="0.2">
      <c r="A533" s="337"/>
      <c r="B533" s="337"/>
      <c r="C533" s="337"/>
      <c r="D533" s="337"/>
      <c r="E533" s="337"/>
      <c r="F533" s="337"/>
      <c r="G533" s="337"/>
      <c r="H533" s="337"/>
      <c r="I533" s="337"/>
      <c r="J533" s="337"/>
      <c r="K533" s="337"/>
      <c r="L533" s="337"/>
      <c r="M533" s="337"/>
      <c r="N533" s="337"/>
      <c r="O533" s="337"/>
      <c r="P533" s="337"/>
      <c r="Q533" s="337"/>
      <c r="R533" s="337"/>
      <c r="S533" s="337"/>
    </row>
    <row r="534" spans="1:19" x14ac:dyDescent="0.2">
      <c r="A534" s="337"/>
      <c r="B534" s="337"/>
      <c r="C534" s="337"/>
      <c r="D534" s="337"/>
      <c r="E534" s="337"/>
      <c r="F534" s="337"/>
      <c r="G534" s="337"/>
      <c r="H534" s="337"/>
      <c r="I534" s="337"/>
      <c r="J534" s="337"/>
      <c r="K534" s="337"/>
      <c r="L534" s="337"/>
      <c r="M534" s="337"/>
      <c r="N534" s="337"/>
      <c r="O534" s="337"/>
      <c r="P534" s="337"/>
      <c r="Q534" s="337"/>
      <c r="R534" s="337"/>
      <c r="S534" s="337"/>
    </row>
    <row r="535" spans="1:19" x14ac:dyDescent="0.2">
      <c r="A535" s="337"/>
      <c r="B535" s="337"/>
      <c r="C535" s="337"/>
      <c r="D535" s="337"/>
      <c r="E535" s="337"/>
      <c r="F535" s="337"/>
      <c r="G535" s="337"/>
      <c r="H535" s="337"/>
      <c r="I535" s="337"/>
      <c r="J535" s="337"/>
      <c r="K535" s="337"/>
      <c r="L535" s="337"/>
      <c r="M535" s="337"/>
      <c r="N535" s="337"/>
      <c r="O535" s="337"/>
      <c r="P535" s="337"/>
      <c r="Q535" s="337"/>
      <c r="R535" s="337"/>
      <c r="S535" s="337"/>
    </row>
    <row r="536" spans="1:19" x14ac:dyDescent="0.2">
      <c r="A536" s="337"/>
      <c r="B536" s="337"/>
      <c r="C536" s="337"/>
      <c r="D536" s="337"/>
      <c r="E536" s="337"/>
      <c r="F536" s="337"/>
      <c r="G536" s="337"/>
      <c r="H536" s="337"/>
      <c r="I536" s="337"/>
      <c r="J536" s="337"/>
      <c r="K536" s="337"/>
      <c r="L536" s="337"/>
      <c r="M536" s="337"/>
      <c r="N536" s="337"/>
      <c r="O536" s="337"/>
      <c r="P536" s="337"/>
      <c r="Q536" s="337"/>
      <c r="R536" s="337"/>
      <c r="S536" s="337"/>
    </row>
    <row r="537" spans="1:19" x14ac:dyDescent="0.2">
      <c r="A537" s="337"/>
      <c r="B537" s="337"/>
      <c r="C537" s="337"/>
      <c r="D537" s="337"/>
      <c r="E537" s="337"/>
      <c r="F537" s="337"/>
      <c r="G537" s="337"/>
      <c r="H537" s="337"/>
      <c r="I537" s="337"/>
      <c r="J537" s="337"/>
      <c r="K537" s="337"/>
      <c r="L537" s="337"/>
      <c r="M537" s="337"/>
      <c r="N537" s="337"/>
      <c r="O537" s="337"/>
      <c r="P537" s="337"/>
      <c r="Q537" s="337"/>
      <c r="R537" s="337"/>
      <c r="S537" s="337"/>
    </row>
    <row r="538" spans="1:19" x14ac:dyDescent="0.2">
      <c r="A538" s="337"/>
      <c r="B538" s="337"/>
      <c r="C538" s="337"/>
      <c r="D538" s="337"/>
      <c r="E538" s="337"/>
      <c r="F538" s="337"/>
      <c r="G538" s="337"/>
      <c r="H538" s="337"/>
      <c r="I538" s="337"/>
      <c r="J538" s="337"/>
      <c r="K538" s="337"/>
      <c r="L538" s="337"/>
      <c r="M538" s="337"/>
      <c r="N538" s="337"/>
      <c r="O538" s="337"/>
      <c r="P538" s="337"/>
      <c r="Q538" s="337"/>
      <c r="R538" s="337"/>
      <c r="S538" s="337"/>
    </row>
    <row r="539" spans="1:19" x14ac:dyDescent="0.2">
      <c r="A539" s="337"/>
      <c r="B539" s="337"/>
      <c r="C539" s="337"/>
      <c r="D539" s="337"/>
      <c r="E539" s="337"/>
      <c r="F539" s="337"/>
      <c r="G539" s="337"/>
      <c r="H539" s="337"/>
      <c r="I539" s="337"/>
      <c r="J539" s="337"/>
      <c r="K539" s="337"/>
      <c r="L539" s="337"/>
      <c r="M539" s="337"/>
      <c r="N539" s="337"/>
      <c r="O539" s="337"/>
      <c r="P539" s="337"/>
      <c r="Q539" s="337"/>
      <c r="R539" s="337"/>
      <c r="S539" s="337"/>
    </row>
    <row r="540" spans="1:19" x14ac:dyDescent="0.2">
      <c r="A540" s="337"/>
      <c r="B540" s="337"/>
      <c r="C540" s="337"/>
      <c r="D540" s="337"/>
      <c r="E540" s="337"/>
      <c r="F540" s="337"/>
      <c r="G540" s="337"/>
      <c r="H540" s="337"/>
      <c r="I540" s="337"/>
      <c r="J540" s="337"/>
      <c r="K540" s="337"/>
      <c r="L540" s="337"/>
      <c r="M540" s="337"/>
      <c r="N540" s="337"/>
      <c r="O540" s="337"/>
      <c r="P540" s="337"/>
      <c r="Q540" s="337"/>
      <c r="R540" s="337"/>
      <c r="S540" s="337"/>
    </row>
    <row r="541" spans="1:19" x14ac:dyDescent="0.2">
      <c r="A541" s="337"/>
      <c r="B541" s="337"/>
      <c r="C541" s="337"/>
      <c r="D541" s="337"/>
      <c r="E541" s="337"/>
      <c r="F541" s="337"/>
      <c r="G541" s="337"/>
      <c r="H541" s="337"/>
      <c r="I541" s="337"/>
      <c r="J541" s="337"/>
      <c r="K541" s="337"/>
      <c r="L541" s="337"/>
      <c r="M541" s="337"/>
      <c r="N541" s="337"/>
      <c r="O541" s="337"/>
      <c r="P541" s="337"/>
      <c r="Q541" s="337"/>
      <c r="R541" s="337"/>
      <c r="S541" s="337"/>
    </row>
    <row r="542" spans="1:19" x14ac:dyDescent="0.2">
      <c r="A542" s="337"/>
      <c r="B542" s="337"/>
      <c r="C542" s="337"/>
      <c r="D542" s="337"/>
      <c r="E542" s="337"/>
      <c r="F542" s="337"/>
      <c r="G542" s="337"/>
      <c r="H542" s="337"/>
      <c r="I542" s="337"/>
      <c r="J542" s="337"/>
      <c r="K542" s="337"/>
      <c r="L542" s="337"/>
      <c r="M542" s="337"/>
      <c r="N542" s="337"/>
      <c r="O542" s="337"/>
      <c r="P542" s="337"/>
      <c r="Q542" s="337"/>
      <c r="R542" s="337"/>
      <c r="S542" s="337"/>
    </row>
    <row r="543" spans="1:19" x14ac:dyDescent="0.2">
      <c r="A543" s="337"/>
      <c r="B543" s="337"/>
      <c r="C543" s="337"/>
      <c r="D543" s="337"/>
      <c r="E543" s="337"/>
      <c r="F543" s="337"/>
      <c r="G543" s="337"/>
      <c r="H543" s="337"/>
      <c r="I543" s="337"/>
      <c r="J543" s="337"/>
      <c r="K543" s="337"/>
      <c r="L543" s="337"/>
      <c r="M543" s="337"/>
      <c r="N543" s="337"/>
      <c r="O543" s="337"/>
      <c r="P543" s="337"/>
      <c r="Q543" s="337"/>
      <c r="R543" s="337"/>
      <c r="S543" s="337"/>
    </row>
    <row r="544" spans="1:19" x14ac:dyDescent="0.2">
      <c r="A544" s="337"/>
      <c r="B544" s="337"/>
      <c r="C544" s="337"/>
      <c r="D544" s="337"/>
      <c r="E544" s="337"/>
      <c r="F544" s="337"/>
      <c r="G544" s="337"/>
      <c r="H544" s="337"/>
      <c r="I544" s="337"/>
      <c r="J544" s="337"/>
      <c r="K544" s="337"/>
      <c r="L544" s="337"/>
      <c r="M544" s="337"/>
      <c r="N544" s="337"/>
      <c r="O544" s="337"/>
      <c r="P544" s="337"/>
      <c r="Q544" s="337"/>
      <c r="R544" s="337"/>
      <c r="S544" s="337"/>
    </row>
    <row r="545" spans="1:19" x14ac:dyDescent="0.2">
      <c r="A545" s="337"/>
      <c r="B545" s="337"/>
      <c r="C545" s="337"/>
      <c r="D545" s="337"/>
      <c r="E545" s="337"/>
      <c r="F545" s="337"/>
      <c r="G545" s="337"/>
      <c r="H545" s="337"/>
      <c r="I545" s="337"/>
      <c r="J545" s="337"/>
      <c r="K545" s="337"/>
      <c r="L545" s="337"/>
      <c r="M545" s="337"/>
      <c r="N545" s="337"/>
      <c r="O545" s="337"/>
      <c r="P545" s="337"/>
      <c r="Q545" s="337"/>
      <c r="R545" s="337"/>
      <c r="S545" s="337"/>
    </row>
    <row r="546" spans="1:19" x14ac:dyDescent="0.2">
      <c r="A546" s="337"/>
      <c r="B546" s="337"/>
      <c r="C546" s="337"/>
      <c r="D546" s="337"/>
      <c r="E546" s="337"/>
      <c r="F546" s="337"/>
      <c r="G546" s="337"/>
      <c r="H546" s="337"/>
      <c r="I546" s="337"/>
      <c r="J546" s="337"/>
      <c r="K546" s="337"/>
      <c r="L546" s="337"/>
      <c r="M546" s="337"/>
      <c r="N546" s="337"/>
      <c r="O546" s="337"/>
      <c r="P546" s="337"/>
      <c r="Q546" s="337"/>
      <c r="R546" s="337"/>
      <c r="S546" s="337"/>
    </row>
    <row r="547" spans="1:19" x14ac:dyDescent="0.2">
      <c r="A547" s="337"/>
      <c r="B547" s="337"/>
      <c r="C547" s="337"/>
      <c r="D547" s="337"/>
      <c r="E547" s="337"/>
      <c r="F547" s="337"/>
      <c r="G547" s="337"/>
      <c r="H547" s="337"/>
      <c r="I547" s="337"/>
      <c r="J547" s="337"/>
      <c r="K547" s="337"/>
      <c r="L547" s="337"/>
      <c r="M547" s="337"/>
      <c r="N547" s="337"/>
      <c r="O547" s="337"/>
      <c r="P547" s="337"/>
      <c r="Q547" s="337"/>
      <c r="R547" s="337"/>
      <c r="S547" s="337"/>
    </row>
    <row r="548" spans="1:19" x14ac:dyDescent="0.2">
      <c r="A548" s="337"/>
      <c r="B548" s="337"/>
      <c r="C548" s="337"/>
      <c r="D548" s="337"/>
      <c r="E548" s="337"/>
      <c r="F548" s="337"/>
      <c r="G548" s="337"/>
      <c r="H548" s="337"/>
      <c r="I548" s="337"/>
      <c r="J548" s="337"/>
      <c r="K548" s="337"/>
      <c r="L548" s="337"/>
      <c r="M548" s="337"/>
      <c r="N548" s="337"/>
      <c r="O548" s="337"/>
      <c r="P548" s="337"/>
      <c r="Q548" s="337"/>
      <c r="R548" s="337"/>
      <c r="S548" s="337"/>
    </row>
    <row r="549" spans="1:19" x14ac:dyDescent="0.2">
      <c r="A549" s="337"/>
      <c r="B549" s="337"/>
      <c r="C549" s="337"/>
      <c r="D549" s="337"/>
      <c r="E549" s="337"/>
      <c r="F549" s="337"/>
      <c r="G549" s="337"/>
      <c r="H549" s="337"/>
      <c r="I549" s="337"/>
      <c r="J549" s="337"/>
      <c r="K549" s="337"/>
      <c r="L549" s="337"/>
      <c r="M549" s="337"/>
      <c r="N549" s="337"/>
      <c r="O549" s="337"/>
      <c r="P549" s="337"/>
      <c r="Q549" s="337"/>
      <c r="R549" s="337"/>
      <c r="S549" s="337"/>
    </row>
    <row r="550" spans="1:19" x14ac:dyDescent="0.2">
      <c r="A550" s="337"/>
      <c r="B550" s="337"/>
      <c r="C550" s="337"/>
      <c r="D550" s="337"/>
      <c r="E550" s="337"/>
      <c r="F550" s="337"/>
      <c r="G550" s="337"/>
      <c r="H550" s="337"/>
      <c r="I550" s="337"/>
      <c r="J550" s="337"/>
      <c r="K550" s="337"/>
      <c r="L550" s="337"/>
      <c r="M550" s="337"/>
      <c r="N550" s="337"/>
      <c r="O550" s="337"/>
      <c r="P550" s="337"/>
      <c r="Q550" s="337"/>
      <c r="R550" s="337"/>
      <c r="S550" s="337"/>
    </row>
    <row r="551" spans="1:19" x14ac:dyDescent="0.2">
      <c r="A551" s="337"/>
      <c r="B551" s="337"/>
      <c r="C551" s="337"/>
      <c r="D551" s="337"/>
      <c r="E551" s="337"/>
      <c r="F551" s="337"/>
      <c r="G551" s="337"/>
      <c r="H551" s="337"/>
      <c r="I551" s="337"/>
      <c r="J551" s="337"/>
      <c r="K551" s="337"/>
      <c r="L551" s="337"/>
      <c r="M551" s="337"/>
      <c r="N551" s="337"/>
      <c r="O551" s="337"/>
      <c r="P551" s="337"/>
      <c r="Q551" s="337"/>
      <c r="R551" s="337"/>
      <c r="S551" s="337"/>
    </row>
    <row r="552" spans="1:19" x14ac:dyDescent="0.2">
      <c r="A552" s="337"/>
      <c r="B552" s="337"/>
      <c r="C552" s="337"/>
      <c r="D552" s="337"/>
      <c r="E552" s="337"/>
      <c r="F552" s="337"/>
      <c r="G552" s="337"/>
      <c r="H552" s="337"/>
      <c r="I552" s="337"/>
      <c r="J552" s="337"/>
      <c r="K552" s="337"/>
      <c r="L552" s="337"/>
      <c r="M552" s="337"/>
      <c r="N552" s="337"/>
      <c r="O552" s="337"/>
      <c r="P552" s="337"/>
      <c r="Q552" s="337"/>
      <c r="R552" s="337"/>
      <c r="S552" s="337"/>
    </row>
    <row r="553" spans="1:19" x14ac:dyDescent="0.2">
      <c r="A553" s="196"/>
      <c r="B553" s="196"/>
      <c r="C553" s="196"/>
      <c r="D553" s="196"/>
      <c r="E553" s="196"/>
      <c r="F553" s="196"/>
      <c r="G553" s="196"/>
      <c r="H553" s="196"/>
      <c r="I553" s="196"/>
      <c r="J553" s="196"/>
      <c r="K553" s="196"/>
      <c r="L553" s="196"/>
      <c r="M553" s="196"/>
      <c r="N553" s="196"/>
      <c r="O553" s="196"/>
      <c r="P553" s="196"/>
      <c r="Q553" s="196"/>
      <c r="R553" s="196"/>
      <c r="S553" s="196"/>
    </row>
    <row r="554" spans="1:19" x14ac:dyDescent="0.2">
      <c r="A554" s="196"/>
      <c r="B554" s="196"/>
      <c r="C554" s="196"/>
      <c r="D554" s="196"/>
      <c r="E554" s="196"/>
      <c r="F554" s="196"/>
      <c r="G554" s="196"/>
      <c r="H554" s="196"/>
      <c r="I554" s="196"/>
      <c r="J554" s="196"/>
      <c r="K554" s="196"/>
      <c r="L554" s="196"/>
      <c r="M554" s="196"/>
      <c r="N554" s="196"/>
      <c r="O554" s="196"/>
      <c r="P554" s="196"/>
      <c r="Q554" s="196"/>
      <c r="R554" s="196"/>
      <c r="S554" s="196"/>
    </row>
    <row r="555" spans="1:19" x14ac:dyDescent="0.2">
      <c r="A555" s="196"/>
      <c r="B555" s="196"/>
      <c r="C555" s="196"/>
      <c r="D555" s="196"/>
      <c r="E555" s="196"/>
      <c r="F555" s="196"/>
      <c r="G555" s="196"/>
      <c r="H555" s="196"/>
      <c r="I555" s="196"/>
      <c r="J555" s="196"/>
      <c r="K555" s="196"/>
      <c r="L555" s="196"/>
      <c r="M555" s="196"/>
      <c r="N555" s="196"/>
      <c r="O555" s="196"/>
      <c r="P555" s="196"/>
      <c r="Q555" s="196"/>
      <c r="R555" s="196"/>
      <c r="S555" s="196"/>
    </row>
    <row r="556" spans="1:19" x14ac:dyDescent="0.2">
      <c r="A556" s="196"/>
      <c r="B556" s="196"/>
      <c r="C556" s="196"/>
      <c r="D556" s="196"/>
      <c r="E556" s="196"/>
      <c r="F556" s="196"/>
      <c r="G556" s="196"/>
      <c r="H556" s="196"/>
      <c r="I556" s="196"/>
      <c r="J556" s="196"/>
      <c r="K556" s="196"/>
      <c r="L556" s="196"/>
      <c r="M556" s="196"/>
      <c r="N556" s="196"/>
      <c r="O556" s="196"/>
      <c r="P556" s="196"/>
      <c r="Q556" s="196"/>
      <c r="R556" s="196"/>
      <c r="S556" s="196"/>
    </row>
    <row r="557" spans="1:19" x14ac:dyDescent="0.2">
      <c r="A557" s="196"/>
      <c r="B557" s="196"/>
      <c r="C557" s="196"/>
      <c r="D557" s="196"/>
      <c r="E557" s="196"/>
      <c r="F557" s="196"/>
      <c r="G557" s="196"/>
      <c r="H557" s="196"/>
      <c r="I557" s="196"/>
      <c r="J557" s="196"/>
      <c r="K557" s="196"/>
      <c r="L557" s="196"/>
      <c r="M557" s="196"/>
      <c r="N557" s="196"/>
      <c r="O557" s="196"/>
      <c r="P557" s="196"/>
      <c r="Q557" s="196"/>
      <c r="R557" s="196"/>
      <c r="S557" s="196"/>
    </row>
    <row r="558" spans="1:19" x14ac:dyDescent="0.2">
      <c r="A558" s="196"/>
      <c r="B558" s="196"/>
      <c r="C558" s="196"/>
      <c r="D558" s="196"/>
      <c r="E558" s="196"/>
      <c r="F558" s="196"/>
      <c r="G558" s="196"/>
      <c r="H558" s="196"/>
      <c r="I558" s="196"/>
      <c r="J558" s="196"/>
      <c r="K558" s="196"/>
      <c r="L558" s="196"/>
      <c r="M558" s="196"/>
      <c r="N558" s="196"/>
      <c r="O558" s="196"/>
      <c r="P558" s="196"/>
      <c r="Q558" s="196"/>
      <c r="R558" s="196"/>
      <c r="S558" s="196"/>
    </row>
    <row r="559" spans="1:19" x14ac:dyDescent="0.2">
      <c r="A559" s="196"/>
      <c r="B559" s="196"/>
      <c r="C559" s="196"/>
      <c r="D559" s="196"/>
      <c r="E559" s="196"/>
      <c r="F559" s="196"/>
      <c r="G559" s="196"/>
      <c r="H559" s="196"/>
      <c r="I559" s="196"/>
      <c r="J559" s="196"/>
      <c r="K559" s="196"/>
      <c r="L559" s="196"/>
      <c r="M559" s="196"/>
      <c r="N559" s="196"/>
      <c r="O559" s="196"/>
      <c r="P559" s="196"/>
      <c r="Q559" s="196"/>
      <c r="R559" s="196"/>
      <c r="S559" s="196"/>
    </row>
    <row r="560" spans="1:19" x14ac:dyDescent="0.2">
      <c r="A560" s="196"/>
      <c r="B560" s="196"/>
      <c r="C560" s="196"/>
      <c r="D560" s="196"/>
      <c r="E560" s="196"/>
      <c r="F560" s="196"/>
      <c r="G560" s="196"/>
      <c r="H560" s="196"/>
      <c r="I560" s="196"/>
      <c r="J560" s="196"/>
      <c r="K560" s="196"/>
      <c r="L560" s="196"/>
      <c r="M560" s="196"/>
      <c r="N560" s="196"/>
      <c r="O560" s="196"/>
      <c r="P560" s="196"/>
      <c r="Q560" s="196"/>
      <c r="R560" s="196"/>
      <c r="S560" s="196"/>
    </row>
    <row r="561" spans="1:19" x14ac:dyDescent="0.2">
      <c r="A561" s="196"/>
      <c r="B561" s="196"/>
      <c r="C561" s="196"/>
      <c r="D561" s="196"/>
      <c r="E561" s="196"/>
      <c r="F561" s="196"/>
      <c r="G561" s="196"/>
      <c r="H561" s="196"/>
      <c r="I561" s="196"/>
      <c r="J561" s="196"/>
      <c r="K561" s="196"/>
      <c r="L561" s="196"/>
      <c r="M561" s="196"/>
      <c r="N561" s="196"/>
      <c r="O561" s="196"/>
      <c r="P561" s="196"/>
      <c r="Q561" s="196"/>
      <c r="R561" s="196"/>
      <c r="S561" s="196"/>
    </row>
    <row r="562" spans="1:19" x14ac:dyDescent="0.2">
      <c r="A562" s="196"/>
      <c r="B562" s="196"/>
      <c r="C562" s="196"/>
      <c r="D562" s="196"/>
      <c r="E562" s="196"/>
      <c r="F562" s="196"/>
      <c r="G562" s="196"/>
      <c r="H562" s="196"/>
      <c r="I562" s="196"/>
      <c r="J562" s="196"/>
      <c r="K562" s="196"/>
      <c r="L562" s="196"/>
      <c r="M562" s="196"/>
      <c r="N562" s="196"/>
      <c r="O562" s="196"/>
      <c r="P562" s="196"/>
      <c r="Q562" s="196"/>
      <c r="R562" s="196"/>
      <c r="S562" s="196"/>
    </row>
    <row r="563" spans="1:19" x14ac:dyDescent="0.2">
      <c r="A563" s="196"/>
      <c r="B563" s="196"/>
      <c r="C563" s="196"/>
      <c r="D563" s="196"/>
      <c r="E563" s="196"/>
      <c r="F563" s="196"/>
      <c r="G563" s="196"/>
      <c r="H563" s="196"/>
      <c r="I563" s="196"/>
      <c r="J563" s="196"/>
      <c r="K563" s="196"/>
      <c r="L563" s="196"/>
      <c r="M563" s="196"/>
      <c r="N563" s="196"/>
      <c r="O563" s="196"/>
      <c r="P563" s="196"/>
      <c r="Q563" s="196"/>
      <c r="R563" s="196"/>
      <c r="S563" s="196"/>
    </row>
    <row r="564" spans="1:19" x14ac:dyDescent="0.2">
      <c r="A564" s="196"/>
      <c r="B564" s="196"/>
      <c r="C564" s="196"/>
      <c r="D564" s="196"/>
      <c r="E564" s="196"/>
      <c r="F564" s="196"/>
      <c r="G564" s="196"/>
      <c r="H564" s="196"/>
      <c r="I564" s="196"/>
      <c r="J564" s="196"/>
      <c r="K564" s="196"/>
      <c r="L564" s="196"/>
      <c r="M564" s="196"/>
      <c r="N564" s="196"/>
      <c r="O564" s="196"/>
      <c r="P564" s="196"/>
      <c r="Q564" s="196"/>
      <c r="R564" s="196"/>
      <c r="S564" s="196"/>
    </row>
    <row r="565" spans="1:19" x14ac:dyDescent="0.2">
      <c r="A565" s="196"/>
      <c r="B565" s="196"/>
      <c r="C565" s="196"/>
      <c r="D565" s="196"/>
      <c r="E565" s="196"/>
      <c r="F565" s="196"/>
      <c r="G565" s="196"/>
      <c r="H565" s="196"/>
      <c r="I565" s="196"/>
      <c r="J565" s="196"/>
      <c r="K565" s="196"/>
      <c r="L565" s="196"/>
      <c r="M565" s="196"/>
      <c r="N565" s="196"/>
      <c r="O565" s="196"/>
      <c r="P565" s="196"/>
      <c r="Q565" s="196"/>
      <c r="R565" s="196"/>
      <c r="S565" s="196"/>
    </row>
    <row r="566" spans="1:19" x14ac:dyDescent="0.2">
      <c r="A566" s="196"/>
      <c r="B566" s="196"/>
      <c r="C566" s="196"/>
      <c r="D566" s="196"/>
      <c r="E566" s="196"/>
      <c r="F566" s="196"/>
      <c r="G566" s="196"/>
      <c r="H566" s="196"/>
      <c r="I566" s="196"/>
      <c r="J566" s="196"/>
      <c r="K566" s="196"/>
      <c r="L566" s="196"/>
      <c r="M566" s="196"/>
      <c r="N566" s="196"/>
      <c r="O566" s="196"/>
      <c r="P566" s="196"/>
      <c r="Q566" s="196"/>
      <c r="R566" s="196"/>
      <c r="S566" s="196"/>
    </row>
    <row r="567" spans="1:19" x14ac:dyDescent="0.2">
      <c r="A567" s="196"/>
      <c r="B567" s="196"/>
      <c r="C567" s="196"/>
      <c r="D567" s="196"/>
      <c r="E567" s="196"/>
      <c r="F567" s="196"/>
      <c r="G567" s="196"/>
      <c r="H567" s="196"/>
      <c r="I567" s="196"/>
      <c r="J567" s="196"/>
      <c r="K567" s="196"/>
      <c r="L567" s="196"/>
      <c r="M567" s="196"/>
      <c r="N567" s="196"/>
      <c r="O567" s="196"/>
      <c r="P567" s="196"/>
      <c r="Q567" s="196"/>
      <c r="R567" s="196"/>
      <c r="S567" s="196"/>
    </row>
    <row r="568" spans="1:19" x14ac:dyDescent="0.2">
      <c r="A568" s="196"/>
      <c r="B568" s="196"/>
      <c r="C568" s="196"/>
      <c r="D568" s="196"/>
      <c r="E568" s="196"/>
      <c r="F568" s="196"/>
      <c r="G568" s="196"/>
      <c r="H568" s="196"/>
      <c r="I568" s="196"/>
      <c r="J568" s="196"/>
      <c r="K568" s="196"/>
      <c r="L568" s="196"/>
      <c r="M568" s="196"/>
      <c r="N568" s="196"/>
      <c r="O568" s="196"/>
      <c r="P568" s="196"/>
      <c r="Q568" s="196"/>
      <c r="R568" s="196"/>
      <c r="S568" s="196"/>
    </row>
    <row r="569" spans="1:19" x14ac:dyDescent="0.2">
      <c r="A569" s="196"/>
      <c r="B569" s="196"/>
      <c r="C569" s="196"/>
      <c r="D569" s="196"/>
      <c r="E569" s="196"/>
      <c r="F569" s="196"/>
      <c r="G569" s="196"/>
      <c r="H569" s="196"/>
      <c r="I569" s="196"/>
      <c r="J569" s="196"/>
      <c r="K569" s="196"/>
      <c r="L569" s="196"/>
      <c r="M569" s="196"/>
      <c r="N569" s="196"/>
      <c r="O569" s="196"/>
      <c r="P569" s="196"/>
      <c r="Q569" s="196"/>
      <c r="R569" s="196"/>
      <c r="S569" s="196"/>
    </row>
    <row r="570" spans="1:19" x14ac:dyDescent="0.2">
      <c r="A570" s="196"/>
      <c r="B570" s="196"/>
      <c r="C570" s="196"/>
      <c r="D570" s="196"/>
      <c r="E570" s="196"/>
      <c r="F570" s="196"/>
      <c r="G570" s="196"/>
      <c r="H570" s="196"/>
      <c r="I570" s="196"/>
      <c r="J570" s="196"/>
      <c r="K570" s="196"/>
      <c r="L570" s="196"/>
      <c r="M570" s="196"/>
      <c r="N570" s="196"/>
      <c r="O570" s="196"/>
      <c r="P570" s="196"/>
      <c r="Q570" s="196"/>
      <c r="R570" s="196"/>
      <c r="S570" s="196"/>
    </row>
    <row r="571" spans="1:19" x14ac:dyDescent="0.2">
      <c r="A571" s="196"/>
      <c r="B571" s="196"/>
      <c r="C571" s="196"/>
      <c r="D571" s="196"/>
      <c r="E571" s="196"/>
      <c r="F571" s="196"/>
      <c r="G571" s="196"/>
      <c r="H571" s="196"/>
      <c r="I571" s="196"/>
      <c r="J571" s="196"/>
      <c r="K571" s="196"/>
      <c r="L571" s="196"/>
      <c r="M571" s="196"/>
      <c r="N571" s="196"/>
      <c r="O571" s="196"/>
      <c r="P571" s="196"/>
      <c r="Q571" s="196"/>
      <c r="R571" s="196"/>
      <c r="S571" s="196"/>
    </row>
    <row r="572" spans="1:19" x14ac:dyDescent="0.2">
      <c r="A572" s="196"/>
      <c r="B572" s="196"/>
      <c r="C572" s="196"/>
      <c r="D572" s="196"/>
      <c r="E572" s="196"/>
      <c r="F572" s="196"/>
      <c r="G572" s="196"/>
      <c r="H572" s="196"/>
      <c r="I572" s="196"/>
      <c r="J572" s="196"/>
      <c r="K572" s="196"/>
      <c r="L572" s="196"/>
      <c r="M572" s="196"/>
      <c r="N572" s="196"/>
      <c r="O572" s="196"/>
      <c r="P572" s="196"/>
      <c r="Q572" s="196"/>
      <c r="R572" s="196"/>
      <c r="S572" s="196"/>
    </row>
    <row r="573" spans="1:19" x14ac:dyDescent="0.2">
      <c r="A573" s="196"/>
      <c r="B573" s="196"/>
      <c r="C573" s="196"/>
      <c r="D573" s="196"/>
      <c r="E573" s="196"/>
      <c r="F573" s="196"/>
      <c r="G573" s="196"/>
      <c r="H573" s="196"/>
      <c r="I573" s="196"/>
      <c r="J573" s="196"/>
      <c r="K573" s="196"/>
      <c r="L573" s="196"/>
      <c r="M573" s="196"/>
      <c r="N573" s="196"/>
      <c r="O573" s="196"/>
      <c r="P573" s="196"/>
      <c r="Q573" s="196"/>
      <c r="R573" s="196"/>
      <c r="S573" s="196"/>
    </row>
    <row r="574" spans="1:19" x14ac:dyDescent="0.2">
      <c r="A574" s="196"/>
      <c r="B574" s="196"/>
      <c r="C574" s="196"/>
      <c r="D574" s="196"/>
      <c r="E574" s="196"/>
      <c r="F574" s="196"/>
      <c r="G574" s="196"/>
      <c r="H574" s="196"/>
      <c r="I574" s="196"/>
      <c r="J574" s="196"/>
      <c r="K574" s="196"/>
      <c r="L574" s="196"/>
      <c r="M574" s="196"/>
      <c r="N574" s="196"/>
      <c r="O574" s="196"/>
      <c r="P574" s="196"/>
      <c r="Q574" s="196"/>
      <c r="R574" s="196"/>
      <c r="S574" s="196"/>
    </row>
    <row r="575" spans="1:19" x14ac:dyDescent="0.2">
      <c r="A575" s="196"/>
      <c r="B575" s="196"/>
      <c r="C575" s="196"/>
      <c r="D575" s="196"/>
      <c r="E575" s="196"/>
      <c r="F575" s="196"/>
      <c r="G575" s="196"/>
      <c r="H575" s="196"/>
      <c r="I575" s="196"/>
      <c r="J575" s="196"/>
      <c r="K575" s="196"/>
      <c r="L575" s="196"/>
      <c r="M575" s="196"/>
      <c r="N575" s="196"/>
      <c r="O575" s="196"/>
      <c r="P575" s="196"/>
      <c r="Q575" s="196"/>
      <c r="R575" s="196"/>
      <c r="S575" s="196"/>
    </row>
    <row r="576" spans="1:19" x14ac:dyDescent="0.2">
      <c r="A576" s="196"/>
      <c r="B576" s="196"/>
      <c r="C576" s="196"/>
      <c r="D576" s="196"/>
      <c r="E576" s="196"/>
      <c r="F576" s="196"/>
      <c r="G576" s="196"/>
      <c r="H576" s="196"/>
      <c r="I576" s="196"/>
      <c r="J576" s="196"/>
      <c r="K576" s="196"/>
      <c r="L576" s="196"/>
      <c r="M576" s="196"/>
      <c r="N576" s="196"/>
      <c r="O576" s="196"/>
      <c r="P576" s="196"/>
      <c r="Q576" s="196"/>
      <c r="R576" s="196"/>
      <c r="S576" s="196"/>
    </row>
    <row r="577" spans="1:19" x14ac:dyDescent="0.2">
      <c r="A577" s="196"/>
      <c r="B577" s="196"/>
      <c r="C577" s="196"/>
      <c r="D577" s="196"/>
      <c r="E577" s="196"/>
      <c r="F577" s="196"/>
      <c r="G577" s="196"/>
      <c r="H577" s="196"/>
      <c r="I577" s="196"/>
      <c r="J577" s="196"/>
      <c r="K577" s="196"/>
      <c r="L577" s="196"/>
      <c r="M577" s="196"/>
      <c r="N577" s="196"/>
      <c r="O577" s="196"/>
      <c r="P577" s="196"/>
      <c r="Q577" s="196"/>
      <c r="R577" s="196"/>
      <c r="S577" s="196"/>
    </row>
    <row r="578" spans="1:19" x14ac:dyDescent="0.2">
      <c r="A578" s="196"/>
      <c r="B578" s="196"/>
      <c r="C578" s="196"/>
      <c r="D578" s="196"/>
      <c r="E578" s="196"/>
      <c r="F578" s="196"/>
      <c r="G578" s="196"/>
      <c r="H578" s="196"/>
      <c r="I578" s="196"/>
      <c r="J578" s="196"/>
      <c r="K578" s="196"/>
      <c r="L578" s="196"/>
      <c r="M578" s="196"/>
      <c r="N578" s="196"/>
      <c r="O578" s="196"/>
      <c r="P578" s="196"/>
      <c r="Q578" s="196"/>
      <c r="R578" s="196"/>
      <c r="S578" s="196"/>
    </row>
    <row r="579" spans="1:19" x14ac:dyDescent="0.2">
      <c r="A579" s="196"/>
      <c r="B579" s="196"/>
      <c r="C579" s="196"/>
      <c r="D579" s="196"/>
      <c r="E579" s="196"/>
      <c r="F579" s="196"/>
      <c r="G579" s="196"/>
      <c r="H579" s="196"/>
      <c r="I579" s="196"/>
      <c r="J579" s="196"/>
      <c r="K579" s="196"/>
      <c r="L579" s="196"/>
      <c r="M579" s="196"/>
      <c r="N579" s="196"/>
      <c r="O579" s="196"/>
      <c r="P579" s="196"/>
      <c r="Q579" s="196"/>
      <c r="R579" s="196"/>
      <c r="S579" s="196"/>
    </row>
    <row r="580" spans="1:19" x14ac:dyDescent="0.2">
      <c r="A580" s="196"/>
      <c r="B580" s="196"/>
      <c r="C580" s="196"/>
      <c r="D580" s="196"/>
      <c r="E580" s="196"/>
      <c r="F580" s="196"/>
      <c r="G580" s="196"/>
      <c r="H580" s="196"/>
      <c r="I580" s="196"/>
      <c r="J580" s="196"/>
      <c r="K580" s="196"/>
      <c r="L580" s="196"/>
      <c r="M580" s="196"/>
      <c r="N580" s="196"/>
      <c r="O580" s="196"/>
      <c r="P580" s="196"/>
      <c r="Q580" s="196"/>
      <c r="R580" s="196"/>
      <c r="S580" s="196"/>
    </row>
    <row r="581" spans="1:19" x14ac:dyDescent="0.2">
      <c r="A581" s="196"/>
      <c r="B581" s="196"/>
      <c r="C581" s="196"/>
      <c r="D581" s="196"/>
      <c r="E581" s="196"/>
      <c r="F581" s="196"/>
      <c r="G581" s="196"/>
      <c r="H581" s="196"/>
      <c r="I581" s="196"/>
      <c r="J581" s="196"/>
      <c r="K581" s="196"/>
      <c r="L581" s="196"/>
      <c r="M581" s="196"/>
      <c r="N581" s="196"/>
      <c r="O581" s="196"/>
      <c r="P581" s="196"/>
      <c r="Q581" s="196"/>
      <c r="R581" s="196"/>
      <c r="S581" s="196"/>
    </row>
    <row r="582" spans="1:19" x14ac:dyDescent="0.2">
      <c r="A582" s="196"/>
      <c r="B582" s="196"/>
      <c r="C582" s="196"/>
      <c r="D582" s="196"/>
      <c r="E582" s="196"/>
      <c r="F582" s="196"/>
      <c r="G582" s="196"/>
      <c r="H582" s="196"/>
      <c r="I582" s="196"/>
      <c r="J582" s="196"/>
      <c r="K582" s="196"/>
      <c r="L582" s="196"/>
      <c r="M582" s="196"/>
      <c r="N582" s="196"/>
      <c r="O582" s="196"/>
      <c r="P582" s="196"/>
      <c r="Q582" s="196"/>
      <c r="R582" s="196"/>
      <c r="S582" s="196"/>
    </row>
    <row r="583" spans="1:19" x14ac:dyDescent="0.2">
      <c r="A583" s="196"/>
      <c r="B583" s="196"/>
      <c r="C583" s="196"/>
      <c r="D583" s="196"/>
      <c r="E583" s="196"/>
      <c r="F583" s="196"/>
      <c r="G583" s="196"/>
      <c r="H583" s="196"/>
      <c r="I583" s="196"/>
      <c r="J583" s="196"/>
      <c r="K583" s="196"/>
      <c r="L583" s="196"/>
      <c r="M583" s="196"/>
      <c r="N583" s="196"/>
      <c r="O583" s="196"/>
      <c r="P583" s="196"/>
      <c r="Q583" s="196"/>
      <c r="R583" s="196"/>
      <c r="S583" s="196"/>
    </row>
    <row r="584" spans="1:19" x14ac:dyDescent="0.2">
      <c r="A584" s="196"/>
      <c r="B584" s="196"/>
      <c r="C584" s="196"/>
      <c r="D584" s="196"/>
      <c r="E584" s="196"/>
      <c r="F584" s="196"/>
      <c r="G584" s="196"/>
      <c r="H584" s="196"/>
      <c r="I584" s="196"/>
      <c r="J584" s="196"/>
      <c r="K584" s="196"/>
      <c r="L584" s="196"/>
      <c r="M584" s="196"/>
      <c r="N584" s="196"/>
      <c r="O584" s="196"/>
      <c r="P584" s="196"/>
      <c r="Q584" s="196"/>
      <c r="R584" s="196"/>
      <c r="S584" s="196"/>
    </row>
    <row r="585" spans="1:19" x14ac:dyDescent="0.2">
      <c r="A585" s="196"/>
      <c r="B585" s="196"/>
      <c r="C585" s="196"/>
      <c r="D585" s="196"/>
      <c r="E585" s="196"/>
      <c r="F585" s="196"/>
      <c r="G585" s="196"/>
      <c r="H585" s="196"/>
      <c r="I585" s="196"/>
      <c r="J585" s="196"/>
      <c r="K585" s="196"/>
      <c r="L585" s="196"/>
      <c r="M585" s="196"/>
      <c r="N585" s="196"/>
      <c r="O585" s="196"/>
      <c r="P585" s="196"/>
      <c r="Q585" s="196"/>
      <c r="R585" s="196"/>
      <c r="S585" s="196"/>
    </row>
    <row r="586" spans="1:19" x14ac:dyDescent="0.2">
      <c r="A586" s="196"/>
      <c r="B586" s="196"/>
      <c r="C586" s="196"/>
      <c r="D586" s="196"/>
      <c r="E586" s="196"/>
      <c r="F586" s="196"/>
      <c r="G586" s="196"/>
      <c r="H586" s="196"/>
      <c r="I586" s="196"/>
      <c r="J586" s="196"/>
      <c r="K586" s="196"/>
      <c r="L586" s="196"/>
      <c r="M586" s="196"/>
      <c r="N586" s="196"/>
      <c r="O586" s="196"/>
      <c r="P586" s="196"/>
      <c r="Q586" s="196"/>
      <c r="R586" s="196"/>
      <c r="S586" s="196"/>
    </row>
    <row r="587" spans="1:19" x14ac:dyDescent="0.2">
      <c r="A587" s="196"/>
      <c r="B587" s="196"/>
      <c r="C587" s="196"/>
      <c r="D587" s="196"/>
      <c r="E587" s="196"/>
      <c r="F587" s="196"/>
      <c r="G587" s="196"/>
      <c r="H587" s="196"/>
      <c r="I587" s="196"/>
      <c r="J587" s="196"/>
      <c r="K587" s="196"/>
      <c r="L587" s="196"/>
      <c r="M587" s="196"/>
      <c r="N587" s="196"/>
      <c r="O587" s="196"/>
      <c r="P587" s="196"/>
      <c r="Q587" s="196"/>
      <c r="R587" s="196"/>
      <c r="S587" s="196"/>
    </row>
    <row r="588" spans="1:19" x14ac:dyDescent="0.2">
      <c r="A588" s="196"/>
      <c r="B588" s="196"/>
      <c r="C588" s="196"/>
      <c r="D588" s="196"/>
      <c r="E588" s="196"/>
      <c r="F588" s="196"/>
      <c r="G588" s="196"/>
      <c r="H588" s="196"/>
      <c r="I588" s="196"/>
      <c r="J588" s="196"/>
      <c r="K588" s="196"/>
      <c r="L588" s="196"/>
      <c r="M588" s="196"/>
      <c r="N588" s="196"/>
      <c r="O588" s="196"/>
      <c r="P588" s="196"/>
      <c r="Q588" s="196"/>
      <c r="R588" s="196"/>
      <c r="S588" s="196"/>
    </row>
    <row r="589" spans="1:19" x14ac:dyDescent="0.2">
      <c r="A589" s="196"/>
      <c r="B589" s="196"/>
      <c r="C589" s="196"/>
      <c r="D589" s="196"/>
      <c r="E589" s="196"/>
      <c r="F589" s="196"/>
      <c r="G589" s="196"/>
      <c r="H589" s="196"/>
      <c r="I589" s="196"/>
      <c r="J589" s="196"/>
      <c r="K589" s="196"/>
      <c r="L589" s="196"/>
      <c r="M589" s="196"/>
      <c r="N589" s="196"/>
      <c r="O589" s="196"/>
      <c r="P589" s="196"/>
      <c r="Q589" s="196"/>
      <c r="R589" s="196"/>
      <c r="S589" s="196"/>
    </row>
    <row r="590" spans="1:19" x14ac:dyDescent="0.2">
      <c r="A590" s="196"/>
      <c r="B590" s="196"/>
      <c r="C590" s="196"/>
      <c r="D590" s="196"/>
      <c r="E590" s="196"/>
      <c r="F590" s="196"/>
      <c r="G590" s="196"/>
      <c r="H590" s="196"/>
      <c r="I590" s="196"/>
      <c r="J590" s="196"/>
      <c r="K590" s="196"/>
      <c r="L590" s="196"/>
      <c r="M590" s="196"/>
      <c r="N590" s="196"/>
      <c r="O590" s="196"/>
      <c r="P590" s="196"/>
      <c r="Q590" s="196"/>
      <c r="R590" s="196"/>
      <c r="S590" s="196"/>
    </row>
    <row r="591" spans="1:19" x14ac:dyDescent="0.2">
      <c r="A591" s="196"/>
      <c r="B591" s="196"/>
      <c r="C591" s="196"/>
      <c r="D591" s="196"/>
      <c r="E591" s="196"/>
      <c r="F591" s="196"/>
      <c r="G591" s="196"/>
      <c r="H591" s="196"/>
      <c r="I591" s="196"/>
      <c r="J591" s="196"/>
      <c r="K591" s="196"/>
      <c r="L591" s="196"/>
      <c r="M591" s="196"/>
      <c r="N591" s="196"/>
      <c r="O591" s="196"/>
      <c r="P591" s="196"/>
      <c r="Q591" s="196"/>
      <c r="R591" s="196"/>
      <c r="S591" s="196"/>
    </row>
    <row r="592" spans="1:19" x14ac:dyDescent="0.2">
      <c r="A592" s="196"/>
      <c r="B592" s="196"/>
      <c r="C592" s="196"/>
      <c r="D592" s="196"/>
      <c r="E592" s="196"/>
      <c r="F592" s="196"/>
      <c r="G592" s="196"/>
      <c r="H592" s="196"/>
      <c r="I592" s="196"/>
      <c r="J592" s="196"/>
      <c r="K592" s="196"/>
      <c r="L592" s="196"/>
      <c r="M592" s="196"/>
      <c r="N592" s="196"/>
      <c r="O592" s="196"/>
      <c r="P592" s="196"/>
      <c r="Q592" s="196"/>
      <c r="R592" s="196"/>
      <c r="S592" s="196"/>
    </row>
    <row r="593" spans="1:19" x14ac:dyDescent="0.2">
      <c r="A593" s="196"/>
      <c r="B593" s="196"/>
      <c r="C593" s="196"/>
      <c r="D593" s="196"/>
      <c r="E593" s="196"/>
      <c r="F593" s="196"/>
      <c r="G593" s="196"/>
      <c r="H593" s="196"/>
      <c r="I593" s="196"/>
      <c r="J593" s="196"/>
      <c r="K593" s="196"/>
      <c r="L593" s="196"/>
      <c r="M593" s="196"/>
      <c r="N593" s="196"/>
      <c r="O593" s="196"/>
      <c r="P593" s="196"/>
      <c r="Q593" s="196"/>
      <c r="R593" s="196"/>
      <c r="S593" s="196"/>
    </row>
    <row r="594" spans="1:19" x14ac:dyDescent="0.2">
      <c r="A594" s="196"/>
      <c r="B594" s="196"/>
      <c r="C594" s="196"/>
      <c r="D594" s="196"/>
      <c r="E594" s="196"/>
      <c r="F594" s="196"/>
      <c r="G594" s="196"/>
      <c r="H594" s="196"/>
      <c r="I594" s="196"/>
      <c r="J594" s="196"/>
      <c r="K594" s="196"/>
      <c r="L594" s="196"/>
      <c r="M594" s="196"/>
      <c r="N594" s="196"/>
      <c r="O594" s="196"/>
      <c r="P594" s="196"/>
      <c r="Q594" s="196"/>
      <c r="R594" s="196"/>
      <c r="S594" s="196"/>
    </row>
    <row r="595" spans="1:19" x14ac:dyDescent="0.2">
      <c r="A595" s="196"/>
      <c r="B595" s="196"/>
      <c r="C595" s="196"/>
      <c r="D595" s="196"/>
      <c r="E595" s="196"/>
      <c r="F595" s="196"/>
      <c r="G595" s="196"/>
      <c r="H595" s="196"/>
      <c r="I595" s="196"/>
      <c r="J595" s="196"/>
      <c r="K595" s="196"/>
      <c r="L595" s="196"/>
      <c r="M595" s="196"/>
      <c r="N595" s="196"/>
      <c r="O595" s="196"/>
      <c r="P595" s="196"/>
      <c r="Q595" s="196"/>
      <c r="R595" s="196"/>
      <c r="S595" s="196"/>
    </row>
    <row r="596" spans="1:19" x14ac:dyDescent="0.2">
      <c r="A596" s="196"/>
      <c r="B596" s="196"/>
      <c r="C596" s="196"/>
      <c r="D596" s="196"/>
      <c r="E596" s="196"/>
      <c r="F596" s="196"/>
      <c r="G596" s="196"/>
      <c r="H596" s="196"/>
      <c r="I596" s="196"/>
      <c r="J596" s="196"/>
      <c r="K596" s="196"/>
      <c r="L596" s="196"/>
      <c r="M596" s="196"/>
      <c r="N596" s="196"/>
      <c r="O596" s="196"/>
      <c r="P596" s="196"/>
      <c r="Q596" s="196"/>
      <c r="R596" s="196"/>
      <c r="S596" s="196"/>
    </row>
    <row r="597" spans="1:19" x14ac:dyDescent="0.2">
      <c r="A597" s="196"/>
      <c r="B597" s="196"/>
      <c r="C597" s="196"/>
      <c r="D597" s="196"/>
      <c r="E597" s="196"/>
      <c r="F597" s="196"/>
      <c r="G597" s="196"/>
      <c r="H597" s="196"/>
      <c r="I597" s="196"/>
      <c r="J597" s="196"/>
      <c r="K597" s="196"/>
      <c r="L597" s="196"/>
      <c r="M597" s="196"/>
      <c r="N597" s="196"/>
      <c r="O597" s="196"/>
      <c r="P597" s="196"/>
      <c r="Q597" s="196"/>
      <c r="R597" s="196"/>
      <c r="S597" s="196"/>
    </row>
    <row r="598" spans="1:19" x14ac:dyDescent="0.2">
      <c r="A598" s="196"/>
      <c r="B598" s="196"/>
      <c r="C598" s="196"/>
      <c r="D598" s="196"/>
      <c r="E598" s="196"/>
      <c r="F598" s="196"/>
      <c r="G598" s="196"/>
      <c r="H598" s="196"/>
      <c r="I598" s="196"/>
      <c r="J598" s="196"/>
      <c r="K598" s="196"/>
      <c r="L598" s="196"/>
      <c r="M598" s="196"/>
      <c r="N598" s="196"/>
      <c r="O598" s="196"/>
      <c r="P598" s="196"/>
      <c r="Q598" s="196"/>
      <c r="R598" s="196"/>
      <c r="S598" s="196"/>
    </row>
    <row r="599" spans="1:19" x14ac:dyDescent="0.2">
      <c r="A599" s="196"/>
      <c r="B599" s="196"/>
      <c r="C599" s="196"/>
      <c r="D599" s="196"/>
      <c r="E599" s="196"/>
      <c r="F599" s="196"/>
      <c r="G599" s="196"/>
      <c r="H599" s="196"/>
      <c r="I599" s="196"/>
      <c r="J599" s="196"/>
      <c r="K599" s="196"/>
      <c r="L599" s="196"/>
      <c r="M599" s="196"/>
      <c r="N599" s="196"/>
      <c r="O599" s="196"/>
      <c r="P599" s="196"/>
      <c r="Q599" s="196"/>
      <c r="R599" s="196"/>
      <c r="S599" s="196"/>
    </row>
    <row r="600" spans="1:19" x14ac:dyDescent="0.2">
      <c r="A600" s="196"/>
      <c r="B600" s="196"/>
      <c r="C600" s="196"/>
      <c r="D600" s="196"/>
      <c r="E600" s="196"/>
      <c r="F600" s="196"/>
      <c r="G600" s="196"/>
      <c r="H600" s="196"/>
      <c r="I600" s="196"/>
      <c r="J600" s="196"/>
      <c r="K600" s="196"/>
      <c r="L600" s="196"/>
      <c r="M600" s="196"/>
      <c r="N600" s="196"/>
      <c r="O600" s="196"/>
      <c r="P600" s="196"/>
      <c r="Q600" s="196"/>
      <c r="R600" s="196"/>
      <c r="S600" s="196"/>
    </row>
    <row r="601" spans="1:19" x14ac:dyDescent="0.2">
      <c r="A601" s="196"/>
      <c r="B601" s="196"/>
      <c r="C601" s="196"/>
      <c r="D601" s="196"/>
      <c r="E601" s="196"/>
      <c r="F601" s="196"/>
      <c r="G601" s="196"/>
      <c r="H601" s="196"/>
      <c r="I601" s="196"/>
      <c r="J601" s="196"/>
      <c r="K601" s="196"/>
      <c r="L601" s="196"/>
      <c r="M601" s="196"/>
      <c r="N601" s="196"/>
      <c r="O601" s="196"/>
      <c r="P601" s="196"/>
      <c r="Q601" s="196"/>
      <c r="R601" s="196"/>
      <c r="S601" s="196"/>
    </row>
    <row r="602" spans="1:19" x14ac:dyDescent="0.2">
      <c r="A602" s="196"/>
      <c r="B602" s="196"/>
      <c r="C602" s="196"/>
      <c r="D602" s="196"/>
      <c r="E602" s="196"/>
      <c r="F602" s="196"/>
      <c r="G602" s="196"/>
      <c r="H602" s="196"/>
      <c r="I602" s="196"/>
      <c r="J602" s="196"/>
      <c r="K602" s="196"/>
      <c r="L602" s="196"/>
      <c r="M602" s="196"/>
      <c r="N602" s="196"/>
      <c r="O602" s="196"/>
      <c r="P602" s="196"/>
      <c r="Q602" s="196"/>
      <c r="R602" s="196"/>
      <c r="S602" s="196"/>
    </row>
    <row r="603" spans="1:19" x14ac:dyDescent="0.2">
      <c r="A603" s="196"/>
      <c r="B603" s="196"/>
      <c r="C603" s="196"/>
      <c r="D603" s="196"/>
      <c r="E603" s="196"/>
      <c r="F603" s="196"/>
      <c r="G603" s="196"/>
      <c r="H603" s="196"/>
      <c r="I603" s="196"/>
      <c r="J603" s="196"/>
      <c r="K603" s="196"/>
      <c r="L603" s="196"/>
      <c r="M603" s="196"/>
      <c r="N603" s="196"/>
      <c r="O603" s="196"/>
      <c r="P603" s="196"/>
      <c r="Q603" s="196"/>
      <c r="R603" s="196"/>
      <c r="S603" s="196"/>
    </row>
    <row r="604" spans="1:19" x14ac:dyDescent="0.2">
      <c r="A604" s="196"/>
      <c r="B604" s="196"/>
      <c r="C604" s="196"/>
      <c r="D604" s="196"/>
      <c r="E604" s="196"/>
      <c r="F604" s="196"/>
      <c r="G604" s="196"/>
      <c r="H604" s="196"/>
      <c r="I604" s="196"/>
      <c r="J604" s="196"/>
      <c r="K604" s="196"/>
      <c r="L604" s="196"/>
      <c r="M604" s="196"/>
      <c r="N604" s="196"/>
      <c r="O604" s="196"/>
      <c r="P604" s="196"/>
      <c r="Q604" s="196"/>
      <c r="R604" s="196"/>
      <c r="S604" s="196"/>
    </row>
    <row r="605" spans="1:19" x14ac:dyDescent="0.2">
      <c r="A605" s="196"/>
      <c r="B605" s="196"/>
      <c r="C605" s="196"/>
      <c r="D605" s="196"/>
      <c r="E605" s="196"/>
      <c r="F605" s="196"/>
      <c r="G605" s="196"/>
      <c r="H605" s="196"/>
      <c r="I605" s="196"/>
      <c r="J605" s="196"/>
      <c r="K605" s="196"/>
      <c r="L605" s="196"/>
      <c r="M605" s="196"/>
      <c r="N605" s="196"/>
      <c r="O605" s="196"/>
      <c r="P605" s="196"/>
      <c r="Q605" s="196"/>
      <c r="R605" s="196"/>
      <c r="S605" s="196"/>
    </row>
    <row r="606" spans="1:19" x14ac:dyDescent="0.2">
      <c r="A606" s="196"/>
      <c r="B606" s="196"/>
      <c r="C606" s="196"/>
      <c r="D606" s="196"/>
      <c r="E606" s="196"/>
      <c r="F606" s="196"/>
      <c r="G606" s="196"/>
      <c r="H606" s="196"/>
      <c r="I606" s="196"/>
      <c r="J606" s="196"/>
      <c r="K606" s="196"/>
      <c r="L606" s="196"/>
      <c r="M606" s="196"/>
      <c r="N606" s="196"/>
      <c r="O606" s="196"/>
      <c r="P606" s="196"/>
      <c r="Q606" s="196"/>
      <c r="R606" s="196"/>
      <c r="S606" s="196"/>
    </row>
    <row r="607" spans="1:19" x14ac:dyDescent="0.2">
      <c r="A607" s="196"/>
      <c r="B607" s="196"/>
      <c r="C607" s="196"/>
      <c r="D607" s="196"/>
      <c r="E607" s="196"/>
      <c r="F607" s="196"/>
      <c r="G607" s="196"/>
      <c r="H607" s="196"/>
      <c r="I607" s="196"/>
      <c r="J607" s="196"/>
      <c r="K607" s="196"/>
      <c r="L607" s="196"/>
      <c r="M607" s="196"/>
      <c r="N607" s="196"/>
      <c r="O607" s="196"/>
      <c r="P607" s="196"/>
      <c r="Q607" s="196"/>
      <c r="R607" s="196"/>
      <c r="S607" s="196"/>
    </row>
    <row r="608" spans="1:19" x14ac:dyDescent="0.2">
      <c r="A608" s="196"/>
      <c r="B608" s="196"/>
      <c r="C608" s="196"/>
      <c r="D608" s="196"/>
      <c r="E608" s="196"/>
      <c r="F608" s="196"/>
      <c r="G608" s="196"/>
      <c r="H608" s="196"/>
      <c r="I608" s="196"/>
      <c r="J608" s="196"/>
      <c r="K608" s="196"/>
      <c r="L608" s="196"/>
      <c r="M608" s="196"/>
      <c r="N608" s="196"/>
      <c r="O608" s="196"/>
      <c r="P608" s="196"/>
      <c r="Q608" s="196"/>
      <c r="R608" s="196"/>
      <c r="S608" s="196"/>
    </row>
    <row r="609" spans="1:19" x14ac:dyDescent="0.2">
      <c r="A609" s="196"/>
      <c r="B609" s="196"/>
      <c r="C609" s="196"/>
      <c r="D609" s="196"/>
      <c r="E609" s="196"/>
      <c r="F609" s="196"/>
      <c r="G609" s="196"/>
      <c r="H609" s="196"/>
      <c r="I609" s="196"/>
      <c r="J609" s="196"/>
      <c r="K609" s="196"/>
      <c r="L609" s="196"/>
      <c r="M609" s="196"/>
      <c r="N609" s="196"/>
      <c r="O609" s="196"/>
      <c r="P609" s="196"/>
      <c r="Q609" s="196"/>
      <c r="R609" s="196"/>
      <c r="S609" s="196"/>
    </row>
    <row r="610" spans="1:19" x14ac:dyDescent="0.2">
      <c r="A610" s="196"/>
      <c r="B610" s="196"/>
      <c r="C610" s="196"/>
      <c r="D610" s="196"/>
      <c r="E610" s="196"/>
      <c r="F610" s="196"/>
      <c r="G610" s="196"/>
      <c r="H610" s="196"/>
      <c r="I610" s="196"/>
      <c r="J610" s="196"/>
      <c r="K610" s="196"/>
      <c r="L610" s="196"/>
      <c r="M610" s="196"/>
      <c r="N610" s="196"/>
      <c r="O610" s="196"/>
      <c r="P610" s="196"/>
      <c r="Q610" s="196"/>
      <c r="R610" s="196"/>
      <c r="S610" s="196"/>
    </row>
    <row r="611" spans="1:19" x14ac:dyDescent="0.2">
      <c r="A611" s="196"/>
      <c r="B611" s="196"/>
      <c r="C611" s="196"/>
      <c r="D611" s="196"/>
      <c r="E611" s="196"/>
      <c r="F611" s="196"/>
      <c r="G611" s="196"/>
      <c r="H611" s="196"/>
      <c r="I611" s="196"/>
      <c r="J611" s="196"/>
      <c r="K611" s="196"/>
      <c r="L611" s="196"/>
      <c r="M611" s="196"/>
      <c r="N611" s="196"/>
      <c r="O611" s="196"/>
      <c r="P611" s="196"/>
      <c r="Q611" s="196"/>
      <c r="R611" s="196"/>
      <c r="S611" s="196"/>
    </row>
    <row r="612" spans="1:19" x14ac:dyDescent="0.2">
      <c r="A612" s="196"/>
      <c r="B612" s="196"/>
      <c r="C612" s="196"/>
      <c r="D612" s="196"/>
      <c r="E612" s="196"/>
      <c r="F612" s="196"/>
      <c r="G612" s="196"/>
      <c r="H612" s="196"/>
      <c r="I612" s="196"/>
      <c r="J612" s="196"/>
      <c r="K612" s="196"/>
      <c r="L612" s="196"/>
      <c r="M612" s="196"/>
      <c r="N612" s="196"/>
      <c r="O612" s="196"/>
      <c r="P612" s="196"/>
      <c r="Q612" s="196"/>
      <c r="R612" s="196"/>
      <c r="S612" s="196"/>
    </row>
    <row r="613" spans="1:19" x14ac:dyDescent="0.2">
      <c r="A613" s="196"/>
      <c r="B613" s="196"/>
      <c r="C613" s="196"/>
      <c r="D613" s="196"/>
      <c r="E613" s="196"/>
      <c r="F613" s="196"/>
      <c r="G613" s="196"/>
      <c r="H613" s="196"/>
      <c r="I613" s="196"/>
      <c r="J613" s="196"/>
      <c r="K613" s="196"/>
      <c r="L613" s="196"/>
      <c r="M613" s="196"/>
      <c r="N613" s="196"/>
      <c r="O613" s="196"/>
      <c r="P613" s="196"/>
      <c r="Q613" s="196"/>
      <c r="R613" s="196"/>
      <c r="S613" s="196"/>
    </row>
    <row r="614" spans="1:19" x14ac:dyDescent="0.2">
      <c r="A614" s="196"/>
      <c r="B614" s="196"/>
      <c r="C614" s="196"/>
      <c r="D614" s="196"/>
      <c r="E614" s="196"/>
      <c r="F614" s="196"/>
      <c r="G614" s="196"/>
      <c r="H614" s="196"/>
      <c r="I614" s="196"/>
      <c r="J614" s="196"/>
      <c r="K614" s="196"/>
      <c r="L614" s="196"/>
      <c r="M614" s="196"/>
      <c r="N614" s="196"/>
      <c r="O614" s="196"/>
      <c r="P614" s="196"/>
      <c r="Q614" s="196"/>
      <c r="R614" s="196"/>
      <c r="S614" s="196"/>
    </row>
    <row r="615" spans="1:19" x14ac:dyDescent="0.2">
      <c r="A615" s="196"/>
      <c r="B615" s="196"/>
      <c r="C615" s="196"/>
      <c r="D615" s="196"/>
      <c r="E615" s="196"/>
      <c r="F615" s="196"/>
      <c r="G615" s="196"/>
      <c r="H615" s="196"/>
      <c r="I615" s="196"/>
      <c r="J615" s="196"/>
      <c r="K615" s="196"/>
      <c r="L615" s="196"/>
      <c r="M615" s="196"/>
      <c r="N615" s="196"/>
      <c r="O615" s="196"/>
      <c r="P615" s="196"/>
      <c r="Q615" s="196"/>
      <c r="R615" s="196"/>
      <c r="S615" s="196"/>
    </row>
    <row r="616" spans="1:19" x14ac:dyDescent="0.2">
      <c r="A616" s="196"/>
      <c r="B616" s="196"/>
      <c r="C616" s="196"/>
      <c r="D616" s="196"/>
      <c r="E616" s="196"/>
      <c r="F616" s="196"/>
      <c r="G616" s="196"/>
      <c r="H616" s="196"/>
      <c r="I616" s="196"/>
      <c r="J616" s="196"/>
      <c r="K616" s="196"/>
      <c r="L616" s="196"/>
      <c r="M616" s="196"/>
      <c r="N616" s="196"/>
      <c r="O616" s="196"/>
      <c r="P616" s="196"/>
      <c r="Q616" s="196"/>
      <c r="R616" s="196"/>
      <c r="S616" s="196"/>
    </row>
    <row r="617" spans="1:19" x14ac:dyDescent="0.2">
      <c r="A617" s="196"/>
      <c r="B617" s="196"/>
      <c r="C617" s="196"/>
      <c r="D617" s="196"/>
      <c r="E617" s="196"/>
      <c r="F617" s="196"/>
      <c r="G617" s="196"/>
      <c r="H617" s="196"/>
      <c r="I617" s="196"/>
      <c r="J617" s="196"/>
      <c r="K617" s="196"/>
      <c r="L617" s="196"/>
      <c r="M617" s="196"/>
      <c r="N617" s="196"/>
      <c r="O617" s="196"/>
      <c r="P617" s="196"/>
      <c r="Q617" s="196"/>
      <c r="R617" s="196"/>
      <c r="S617" s="196"/>
    </row>
    <row r="618" spans="1:19" x14ac:dyDescent="0.2">
      <c r="A618" s="196"/>
      <c r="B618" s="196"/>
      <c r="C618" s="196"/>
      <c r="D618" s="196"/>
      <c r="E618" s="196"/>
      <c r="F618" s="196"/>
      <c r="G618" s="196"/>
      <c r="H618" s="196"/>
      <c r="I618" s="196"/>
      <c r="J618" s="196"/>
      <c r="K618" s="196"/>
      <c r="L618" s="196"/>
      <c r="M618" s="196"/>
      <c r="N618" s="196"/>
      <c r="O618" s="196"/>
      <c r="P618" s="196"/>
      <c r="Q618" s="196"/>
      <c r="R618" s="196"/>
      <c r="S618" s="196"/>
    </row>
    <row r="619" spans="1:19" x14ac:dyDescent="0.2">
      <c r="A619" s="196"/>
      <c r="B619" s="196"/>
      <c r="C619" s="196"/>
      <c r="D619" s="196"/>
      <c r="E619" s="196"/>
      <c r="F619" s="196"/>
      <c r="G619" s="196"/>
      <c r="H619" s="196"/>
      <c r="I619" s="196"/>
      <c r="J619" s="196"/>
      <c r="K619" s="196"/>
      <c r="L619" s="196"/>
      <c r="M619" s="196"/>
      <c r="N619" s="196"/>
      <c r="O619" s="196"/>
      <c r="P619" s="196"/>
      <c r="Q619" s="196"/>
      <c r="R619" s="196"/>
      <c r="S619" s="196"/>
    </row>
    <row r="620" spans="1:19" x14ac:dyDescent="0.2">
      <c r="A620" s="196"/>
      <c r="B620" s="196"/>
      <c r="C620" s="196"/>
      <c r="D620" s="196"/>
      <c r="E620" s="196"/>
      <c r="F620" s="196"/>
      <c r="G620" s="196"/>
      <c r="H620" s="196"/>
      <c r="I620" s="196"/>
      <c r="J620" s="196"/>
      <c r="K620" s="196"/>
      <c r="L620" s="196"/>
      <c r="M620" s="196"/>
      <c r="N620" s="196"/>
      <c r="O620" s="196"/>
      <c r="P620" s="196"/>
      <c r="Q620" s="196"/>
      <c r="R620" s="196"/>
      <c r="S620" s="196"/>
    </row>
    <row r="621" spans="1:19" x14ac:dyDescent="0.2">
      <c r="A621" s="196"/>
      <c r="B621" s="196"/>
      <c r="C621" s="196"/>
      <c r="D621" s="196"/>
      <c r="E621" s="196"/>
      <c r="F621" s="196"/>
      <c r="G621" s="196"/>
      <c r="H621" s="196"/>
      <c r="I621" s="196"/>
      <c r="J621" s="196"/>
      <c r="K621" s="196"/>
      <c r="L621" s="196"/>
      <c r="M621" s="196"/>
      <c r="N621" s="196"/>
      <c r="O621" s="196"/>
      <c r="P621" s="196"/>
      <c r="Q621" s="196"/>
      <c r="R621" s="196"/>
      <c r="S621" s="196"/>
    </row>
    <row r="622" spans="1:19" x14ac:dyDescent="0.2">
      <c r="A622" s="196"/>
      <c r="B622" s="196"/>
      <c r="C622" s="196"/>
      <c r="D622" s="196"/>
      <c r="E622" s="196"/>
      <c r="F622" s="196"/>
      <c r="G622" s="196"/>
      <c r="H622" s="196"/>
      <c r="I622" s="196"/>
      <c r="J622" s="196"/>
      <c r="K622" s="196"/>
      <c r="L622" s="196"/>
      <c r="M622" s="196"/>
      <c r="N622" s="196"/>
      <c r="O622" s="196"/>
      <c r="P622" s="196"/>
      <c r="Q622" s="196"/>
      <c r="R622" s="196"/>
      <c r="S622" s="196"/>
    </row>
    <row r="623" spans="1:19" x14ac:dyDescent="0.2">
      <c r="A623" s="196"/>
      <c r="B623" s="196"/>
      <c r="C623" s="196"/>
      <c r="D623" s="196"/>
      <c r="E623" s="196"/>
      <c r="F623" s="196"/>
      <c r="G623" s="196"/>
      <c r="H623" s="196"/>
      <c r="I623" s="196"/>
      <c r="J623" s="196"/>
      <c r="K623" s="196"/>
      <c r="L623" s="196"/>
      <c r="M623" s="196"/>
      <c r="N623" s="196"/>
      <c r="O623" s="196"/>
      <c r="P623" s="196"/>
      <c r="Q623" s="196"/>
      <c r="R623" s="196"/>
      <c r="S623" s="196"/>
    </row>
    <row r="624" spans="1:19" x14ac:dyDescent="0.2">
      <c r="A624" s="196"/>
      <c r="B624" s="196"/>
      <c r="C624" s="196"/>
      <c r="D624" s="196"/>
      <c r="E624" s="196"/>
      <c r="F624" s="196"/>
      <c r="G624" s="196"/>
      <c r="H624" s="196"/>
      <c r="I624" s="196"/>
      <c r="J624" s="196"/>
      <c r="K624" s="196"/>
      <c r="L624" s="196"/>
      <c r="M624" s="196"/>
      <c r="N624" s="196"/>
      <c r="O624" s="196"/>
      <c r="P624" s="196"/>
      <c r="Q624" s="196"/>
      <c r="R624" s="196"/>
      <c r="S624" s="196"/>
    </row>
    <row r="625" spans="1:19" x14ac:dyDescent="0.2">
      <c r="A625" s="196"/>
      <c r="B625" s="196"/>
      <c r="C625" s="196"/>
      <c r="D625" s="196"/>
      <c r="E625" s="196"/>
      <c r="F625" s="196"/>
      <c r="G625" s="196"/>
      <c r="H625" s="196"/>
      <c r="I625" s="196"/>
      <c r="J625" s="196"/>
      <c r="K625" s="196"/>
      <c r="L625" s="196"/>
      <c r="M625" s="196"/>
      <c r="N625" s="196"/>
      <c r="O625" s="196"/>
      <c r="P625" s="196"/>
      <c r="Q625" s="196"/>
      <c r="R625" s="196"/>
      <c r="S625" s="196"/>
    </row>
    <row r="626" spans="1:19" x14ac:dyDescent="0.2">
      <c r="A626" s="196"/>
      <c r="B626" s="196"/>
      <c r="C626" s="196"/>
      <c r="D626" s="196"/>
      <c r="E626" s="196"/>
      <c r="F626" s="196"/>
      <c r="G626" s="196"/>
      <c r="H626" s="196"/>
      <c r="I626" s="196"/>
      <c r="J626" s="196"/>
      <c r="K626" s="196"/>
      <c r="L626" s="196"/>
      <c r="M626" s="196"/>
      <c r="N626" s="196"/>
      <c r="O626" s="196"/>
      <c r="P626" s="196"/>
      <c r="Q626" s="196"/>
      <c r="R626" s="196"/>
      <c r="S626" s="196"/>
    </row>
    <row r="627" spans="1:19" x14ac:dyDescent="0.2">
      <c r="A627" s="196"/>
      <c r="B627" s="196"/>
      <c r="C627" s="196"/>
      <c r="D627" s="196"/>
      <c r="E627" s="196"/>
      <c r="F627" s="196"/>
      <c r="G627" s="196"/>
      <c r="H627" s="196"/>
      <c r="I627" s="196"/>
      <c r="J627" s="196"/>
      <c r="K627" s="196"/>
      <c r="L627" s="196"/>
      <c r="M627" s="196"/>
      <c r="N627" s="196"/>
      <c r="O627" s="196"/>
      <c r="P627" s="196"/>
      <c r="Q627" s="196"/>
      <c r="R627" s="196"/>
      <c r="S627" s="196"/>
    </row>
    <row r="628" spans="1:19" x14ac:dyDescent="0.2">
      <c r="A628" s="196"/>
      <c r="B628" s="196"/>
      <c r="C628" s="196"/>
      <c r="D628" s="196"/>
      <c r="E628" s="196"/>
      <c r="F628" s="196"/>
      <c r="G628" s="196"/>
      <c r="H628" s="196"/>
      <c r="I628" s="196"/>
      <c r="J628" s="196"/>
      <c r="K628" s="196"/>
      <c r="L628" s="196"/>
      <c r="M628" s="196"/>
      <c r="N628" s="196"/>
      <c r="O628" s="196"/>
      <c r="P628" s="196"/>
      <c r="Q628" s="196"/>
      <c r="R628" s="196"/>
      <c r="S628" s="196"/>
    </row>
    <row r="629" spans="1:19" x14ac:dyDescent="0.2">
      <c r="A629" s="196"/>
      <c r="B629" s="196"/>
      <c r="C629" s="196"/>
      <c r="D629" s="196"/>
      <c r="E629" s="196"/>
      <c r="F629" s="196"/>
      <c r="G629" s="196"/>
      <c r="H629" s="196"/>
      <c r="I629" s="196"/>
      <c r="J629" s="196"/>
      <c r="K629" s="196"/>
      <c r="L629" s="196"/>
      <c r="M629" s="196"/>
      <c r="N629" s="196"/>
      <c r="O629" s="196"/>
      <c r="P629" s="196"/>
      <c r="Q629" s="196"/>
      <c r="R629" s="196"/>
      <c r="S629" s="196"/>
    </row>
    <row r="630" spans="1:19" x14ac:dyDescent="0.2">
      <c r="A630" s="196"/>
      <c r="B630" s="196"/>
      <c r="C630" s="196"/>
      <c r="D630" s="196"/>
      <c r="E630" s="196"/>
      <c r="F630" s="196"/>
      <c r="G630" s="196"/>
      <c r="H630" s="196"/>
      <c r="I630" s="196"/>
      <c r="J630" s="196"/>
      <c r="K630" s="196"/>
      <c r="L630" s="196"/>
      <c r="M630" s="196"/>
      <c r="N630" s="196"/>
      <c r="O630" s="196"/>
      <c r="P630" s="196"/>
      <c r="Q630" s="196"/>
      <c r="R630" s="196"/>
      <c r="S630" s="196"/>
    </row>
    <row r="631" spans="1:19" x14ac:dyDescent="0.2">
      <c r="A631" s="196"/>
      <c r="B631" s="196"/>
      <c r="C631" s="196"/>
      <c r="D631" s="196"/>
      <c r="E631" s="196"/>
      <c r="F631" s="196"/>
      <c r="G631" s="196"/>
      <c r="H631" s="196"/>
      <c r="I631" s="196"/>
      <c r="J631" s="196"/>
      <c r="K631" s="196"/>
      <c r="L631" s="196"/>
      <c r="M631" s="196"/>
      <c r="N631" s="196"/>
      <c r="O631" s="196"/>
      <c r="P631" s="196"/>
      <c r="Q631" s="196"/>
      <c r="R631" s="196"/>
      <c r="S631" s="196"/>
    </row>
    <row r="632" spans="1:19" x14ac:dyDescent="0.2">
      <c r="A632" s="196"/>
      <c r="B632" s="196"/>
      <c r="C632" s="196"/>
      <c r="D632" s="196"/>
      <c r="E632" s="196"/>
      <c r="F632" s="196"/>
      <c r="G632" s="196"/>
      <c r="H632" s="196"/>
      <c r="I632" s="196"/>
      <c r="J632" s="196"/>
      <c r="K632" s="196"/>
      <c r="L632" s="196"/>
      <c r="M632" s="196"/>
      <c r="N632" s="196"/>
      <c r="O632" s="196"/>
      <c r="P632" s="196"/>
      <c r="Q632" s="196"/>
      <c r="R632" s="196"/>
      <c r="S632" s="196"/>
    </row>
    <row r="633" spans="1:19" x14ac:dyDescent="0.2">
      <c r="A633" s="196"/>
      <c r="B633" s="196"/>
      <c r="C633" s="196"/>
      <c r="D633" s="196"/>
      <c r="E633" s="196"/>
      <c r="F633" s="196"/>
      <c r="G633" s="196"/>
      <c r="H633" s="196"/>
      <c r="I633" s="196"/>
      <c r="J633" s="196"/>
      <c r="K633" s="196"/>
      <c r="L633" s="196"/>
      <c r="M633" s="196"/>
      <c r="N633" s="196"/>
      <c r="O633" s="196"/>
      <c r="P633" s="196"/>
      <c r="Q633" s="196"/>
      <c r="R633" s="196"/>
      <c r="S633" s="196"/>
    </row>
    <row r="634" spans="1:19" x14ac:dyDescent="0.2">
      <c r="A634" s="196"/>
      <c r="B634" s="196"/>
      <c r="C634" s="196"/>
      <c r="D634" s="196"/>
      <c r="E634" s="196"/>
      <c r="F634" s="196"/>
      <c r="G634" s="196"/>
      <c r="H634" s="196"/>
      <c r="I634" s="196"/>
      <c r="J634" s="196"/>
      <c r="K634" s="196"/>
      <c r="L634" s="196"/>
      <c r="M634" s="196"/>
      <c r="N634" s="196"/>
      <c r="O634" s="196"/>
      <c r="P634" s="196"/>
      <c r="Q634" s="196"/>
      <c r="R634" s="196"/>
      <c r="S634" s="196"/>
    </row>
    <row r="635" spans="1:19" x14ac:dyDescent="0.2">
      <c r="A635" s="196"/>
      <c r="B635" s="196"/>
      <c r="C635" s="196"/>
      <c r="D635" s="196"/>
      <c r="E635" s="196"/>
      <c r="F635" s="196"/>
      <c r="G635" s="196"/>
      <c r="H635" s="196"/>
      <c r="I635" s="196"/>
      <c r="J635" s="196"/>
      <c r="K635" s="196"/>
      <c r="L635" s="196"/>
      <c r="M635" s="196"/>
      <c r="N635" s="196"/>
      <c r="O635" s="196"/>
      <c r="P635" s="196"/>
      <c r="Q635" s="196"/>
      <c r="R635" s="196"/>
      <c r="S635" s="196"/>
    </row>
    <row r="636" spans="1:19" x14ac:dyDescent="0.2">
      <c r="A636" s="196"/>
      <c r="B636" s="196"/>
      <c r="C636" s="196"/>
      <c r="D636" s="196"/>
      <c r="E636" s="196"/>
      <c r="F636" s="196"/>
      <c r="G636" s="196"/>
      <c r="H636" s="196"/>
      <c r="I636" s="196"/>
      <c r="J636" s="196"/>
      <c r="K636" s="196"/>
      <c r="L636" s="196"/>
      <c r="M636" s="196"/>
      <c r="N636" s="196"/>
      <c r="O636" s="196"/>
      <c r="P636" s="196"/>
      <c r="Q636" s="196"/>
      <c r="R636" s="196"/>
      <c r="S636" s="196"/>
    </row>
    <row r="637" spans="1:19" x14ac:dyDescent="0.2">
      <c r="A637" s="196"/>
      <c r="B637" s="196"/>
      <c r="C637" s="196"/>
      <c r="D637" s="196"/>
      <c r="E637" s="196"/>
      <c r="F637" s="196"/>
      <c r="G637" s="196"/>
      <c r="H637" s="196"/>
      <c r="I637" s="196"/>
      <c r="J637" s="196"/>
      <c r="K637" s="196"/>
      <c r="L637" s="196"/>
      <c r="M637" s="196"/>
      <c r="N637" s="196"/>
      <c r="O637" s="196"/>
      <c r="P637" s="196"/>
      <c r="Q637" s="196"/>
      <c r="R637" s="196"/>
      <c r="S637" s="196"/>
    </row>
    <row r="638" spans="1:19" x14ac:dyDescent="0.2">
      <c r="A638" s="196"/>
      <c r="B638" s="196"/>
      <c r="C638" s="196"/>
      <c r="D638" s="196"/>
      <c r="E638" s="196"/>
      <c r="F638" s="196"/>
      <c r="G638" s="196"/>
      <c r="H638" s="196"/>
      <c r="I638" s="196"/>
      <c r="J638" s="196"/>
      <c r="K638" s="196"/>
      <c r="L638" s="196"/>
      <c r="M638" s="196"/>
      <c r="N638" s="196"/>
      <c r="O638" s="196"/>
      <c r="P638" s="196"/>
      <c r="Q638" s="196"/>
      <c r="R638" s="196"/>
      <c r="S638" s="196"/>
    </row>
    <row r="639" spans="1:19" x14ac:dyDescent="0.2">
      <c r="A639" s="196"/>
      <c r="B639" s="196"/>
      <c r="C639" s="196"/>
      <c r="D639" s="196"/>
      <c r="E639" s="196"/>
      <c r="F639" s="196"/>
      <c r="G639" s="196"/>
      <c r="H639" s="196"/>
      <c r="I639" s="196"/>
      <c r="J639" s="196"/>
      <c r="K639" s="196"/>
      <c r="L639" s="196"/>
      <c r="M639" s="196"/>
      <c r="N639" s="196"/>
      <c r="O639" s="196"/>
      <c r="P639" s="196"/>
      <c r="Q639" s="196"/>
      <c r="R639" s="196"/>
      <c r="S639" s="196"/>
    </row>
    <row r="640" spans="1:19" x14ac:dyDescent="0.2">
      <c r="A640" s="196"/>
      <c r="B640" s="196"/>
      <c r="C640" s="196"/>
      <c r="D640" s="196"/>
      <c r="E640" s="196"/>
      <c r="F640" s="196"/>
      <c r="G640" s="196"/>
      <c r="H640" s="196"/>
      <c r="I640" s="196"/>
      <c r="J640" s="196"/>
      <c r="K640" s="196"/>
      <c r="L640" s="196"/>
      <c r="M640" s="196"/>
      <c r="N640" s="196"/>
      <c r="O640" s="196"/>
      <c r="P640" s="196"/>
      <c r="Q640" s="196"/>
      <c r="R640" s="196"/>
      <c r="S640" s="196"/>
    </row>
    <row r="641" spans="1:19" x14ac:dyDescent="0.2">
      <c r="A641" s="196"/>
      <c r="B641" s="196"/>
      <c r="C641" s="196"/>
      <c r="D641" s="196"/>
      <c r="E641" s="196"/>
      <c r="F641" s="196"/>
      <c r="G641" s="196"/>
      <c r="H641" s="196"/>
      <c r="I641" s="196"/>
      <c r="J641" s="196"/>
      <c r="K641" s="196"/>
      <c r="L641" s="196"/>
      <c r="M641" s="196"/>
      <c r="N641" s="196"/>
      <c r="O641" s="196"/>
      <c r="P641" s="196"/>
      <c r="Q641" s="196"/>
      <c r="R641" s="196"/>
      <c r="S641" s="196"/>
    </row>
    <row r="642" spans="1:19" x14ac:dyDescent="0.2">
      <c r="A642" s="196"/>
      <c r="B642" s="196"/>
      <c r="C642" s="196"/>
      <c r="D642" s="196"/>
      <c r="E642" s="196"/>
      <c r="F642" s="196"/>
      <c r="G642" s="196"/>
      <c r="H642" s="196"/>
      <c r="I642" s="196"/>
      <c r="J642" s="196"/>
      <c r="K642" s="196"/>
      <c r="L642" s="196"/>
      <c r="M642" s="196"/>
      <c r="N642" s="196"/>
      <c r="O642" s="196"/>
      <c r="P642" s="196"/>
      <c r="Q642" s="196"/>
      <c r="R642" s="196"/>
      <c r="S642" s="196"/>
    </row>
    <row r="643" spans="1:19" x14ac:dyDescent="0.2">
      <c r="A643" s="196"/>
      <c r="B643" s="196"/>
      <c r="C643" s="196"/>
      <c r="D643" s="196"/>
      <c r="E643" s="196"/>
      <c r="F643" s="196"/>
      <c r="G643" s="196"/>
      <c r="H643" s="196"/>
      <c r="I643" s="196"/>
      <c r="J643" s="196"/>
      <c r="K643" s="196"/>
      <c r="L643" s="196"/>
      <c r="M643" s="196"/>
      <c r="N643" s="196"/>
      <c r="O643" s="196"/>
      <c r="P643" s="196"/>
      <c r="Q643" s="196"/>
      <c r="R643" s="196"/>
      <c r="S643" s="196"/>
    </row>
    <row r="644" spans="1:19" x14ac:dyDescent="0.2">
      <c r="A644" s="196"/>
      <c r="B644" s="196"/>
      <c r="C644" s="196"/>
      <c r="D644" s="196"/>
      <c r="E644" s="196"/>
      <c r="F644" s="196"/>
      <c r="G644" s="196"/>
      <c r="H644" s="196"/>
      <c r="I644" s="196"/>
      <c r="J644" s="196"/>
      <c r="K644" s="196"/>
      <c r="L644" s="196"/>
      <c r="M644" s="196"/>
      <c r="N644" s="196"/>
      <c r="O644" s="196"/>
      <c r="P644" s="196"/>
      <c r="Q644" s="196"/>
      <c r="R644" s="196"/>
      <c r="S644" s="196"/>
    </row>
    <row r="645" spans="1:19" x14ac:dyDescent="0.2">
      <c r="A645" s="196"/>
      <c r="B645" s="196"/>
      <c r="C645" s="196"/>
      <c r="D645" s="196"/>
      <c r="E645" s="196"/>
      <c r="F645" s="196"/>
      <c r="G645" s="196"/>
      <c r="H645" s="196"/>
      <c r="I645" s="196"/>
      <c r="J645" s="196"/>
      <c r="K645" s="196"/>
      <c r="L645" s="196"/>
      <c r="M645" s="196"/>
      <c r="N645" s="196"/>
      <c r="O645" s="196"/>
      <c r="P645" s="196"/>
      <c r="Q645" s="196"/>
      <c r="R645" s="196"/>
      <c r="S645" s="196"/>
    </row>
    <row r="646" spans="1:19" x14ac:dyDescent="0.2">
      <c r="A646" s="196"/>
      <c r="B646" s="196"/>
      <c r="C646" s="196"/>
      <c r="D646" s="196"/>
      <c r="E646" s="196"/>
      <c r="F646" s="196"/>
      <c r="G646" s="196"/>
      <c r="H646" s="196"/>
      <c r="I646" s="196"/>
      <c r="J646" s="196"/>
      <c r="K646" s="196"/>
      <c r="L646" s="196"/>
      <c r="M646" s="196"/>
      <c r="N646" s="196"/>
      <c r="O646" s="196"/>
      <c r="P646" s="196"/>
      <c r="Q646" s="196"/>
      <c r="R646" s="196"/>
      <c r="S646" s="196"/>
    </row>
    <row r="647" spans="1:19" x14ac:dyDescent="0.2">
      <c r="A647" s="196"/>
      <c r="B647" s="196"/>
      <c r="C647" s="196"/>
      <c r="D647" s="196"/>
      <c r="E647" s="196"/>
      <c r="F647" s="196"/>
      <c r="G647" s="196"/>
      <c r="H647" s="196"/>
      <c r="I647" s="196"/>
      <c r="J647" s="196"/>
      <c r="K647" s="196"/>
      <c r="L647" s="196"/>
      <c r="M647" s="196"/>
      <c r="N647" s="196"/>
      <c r="O647" s="196"/>
      <c r="P647" s="196"/>
      <c r="Q647" s="196"/>
      <c r="R647" s="196"/>
      <c r="S647" s="196"/>
    </row>
    <row r="648" spans="1:19" x14ac:dyDescent="0.2">
      <c r="A648" s="196"/>
      <c r="B648" s="196"/>
      <c r="C648" s="196"/>
      <c r="D648" s="196"/>
      <c r="E648" s="196"/>
      <c r="F648" s="196"/>
      <c r="G648" s="196"/>
      <c r="H648" s="196"/>
      <c r="I648" s="196"/>
      <c r="J648" s="196"/>
      <c r="K648" s="196"/>
      <c r="L648" s="196"/>
      <c r="M648" s="196"/>
      <c r="N648" s="196"/>
      <c r="O648" s="196"/>
      <c r="P648" s="196"/>
      <c r="Q648" s="196"/>
      <c r="R648" s="196"/>
      <c r="S648" s="196"/>
    </row>
    <row r="649" spans="1:19" x14ac:dyDescent="0.2">
      <c r="A649" s="196"/>
      <c r="B649" s="196"/>
      <c r="C649" s="196"/>
      <c r="D649" s="196"/>
      <c r="E649" s="196"/>
      <c r="F649" s="196"/>
      <c r="G649" s="196"/>
      <c r="H649" s="196"/>
      <c r="I649" s="196"/>
      <c r="J649" s="196"/>
      <c r="K649" s="196"/>
      <c r="L649" s="196"/>
      <c r="M649" s="196"/>
      <c r="N649" s="196"/>
      <c r="O649" s="196"/>
      <c r="P649" s="196"/>
      <c r="Q649" s="196"/>
      <c r="R649" s="196"/>
      <c r="S649" s="196"/>
    </row>
    <row r="650" spans="1:19" x14ac:dyDescent="0.2">
      <c r="A650" s="196"/>
      <c r="B650" s="196"/>
      <c r="C650" s="196"/>
      <c r="D650" s="196"/>
      <c r="E650" s="196"/>
      <c r="F650" s="196"/>
      <c r="G650" s="196"/>
      <c r="H650" s="196"/>
      <c r="I650" s="196"/>
      <c r="J650" s="196"/>
      <c r="K650" s="196"/>
      <c r="L650" s="196"/>
      <c r="M650" s="196"/>
      <c r="N650" s="196"/>
      <c r="O650" s="196"/>
      <c r="P650" s="196"/>
      <c r="Q650" s="196"/>
      <c r="R650" s="196"/>
      <c r="S650" s="196"/>
    </row>
    <row r="651" spans="1:19" x14ac:dyDescent="0.2">
      <c r="A651" s="196"/>
      <c r="B651" s="196"/>
      <c r="C651" s="196"/>
      <c r="D651" s="196"/>
      <c r="E651" s="196"/>
      <c r="F651" s="196"/>
      <c r="G651" s="196"/>
      <c r="H651" s="196"/>
      <c r="I651" s="196"/>
      <c r="J651" s="196"/>
      <c r="K651" s="196"/>
      <c r="L651" s="196"/>
      <c r="M651" s="196"/>
      <c r="N651" s="196"/>
      <c r="O651" s="196"/>
      <c r="P651" s="196"/>
      <c r="Q651" s="196"/>
      <c r="R651" s="196"/>
      <c r="S651" s="196"/>
    </row>
    <row r="652" spans="1:19" x14ac:dyDescent="0.2">
      <c r="A652" s="196"/>
      <c r="B652" s="196"/>
      <c r="C652" s="196"/>
      <c r="D652" s="196"/>
      <c r="E652" s="196"/>
      <c r="F652" s="196"/>
      <c r="G652" s="196"/>
      <c r="H652" s="196"/>
      <c r="I652" s="196"/>
      <c r="J652" s="196"/>
      <c r="K652" s="196"/>
      <c r="L652" s="196"/>
      <c r="M652" s="196"/>
      <c r="N652" s="196"/>
      <c r="O652" s="196"/>
      <c r="P652" s="196"/>
      <c r="Q652" s="196"/>
      <c r="R652" s="196"/>
      <c r="S652" s="196"/>
    </row>
    <row r="653" spans="1:19" x14ac:dyDescent="0.2">
      <c r="A653" s="196"/>
      <c r="B653" s="196"/>
      <c r="C653" s="196"/>
      <c r="D653" s="196"/>
      <c r="E653" s="196"/>
      <c r="F653" s="196"/>
      <c r="G653" s="196"/>
      <c r="H653" s="196"/>
      <c r="I653" s="196"/>
      <c r="J653" s="196"/>
      <c r="K653" s="196"/>
      <c r="L653" s="196"/>
      <c r="M653" s="196"/>
      <c r="N653" s="196"/>
      <c r="O653" s="196"/>
      <c r="P653" s="196"/>
      <c r="Q653" s="196"/>
      <c r="R653" s="196"/>
      <c r="S653" s="196"/>
    </row>
    <row r="654" spans="1:19" x14ac:dyDescent="0.2">
      <c r="A654" s="196"/>
      <c r="B654" s="196"/>
      <c r="C654" s="196"/>
      <c r="D654" s="196"/>
      <c r="E654" s="196"/>
      <c r="F654" s="196"/>
      <c r="G654" s="196"/>
      <c r="H654" s="196"/>
      <c r="I654" s="196"/>
      <c r="J654" s="196"/>
      <c r="K654" s="196"/>
      <c r="L654" s="196"/>
      <c r="M654" s="196"/>
      <c r="N654" s="196"/>
      <c r="O654" s="196"/>
      <c r="P654" s="196"/>
      <c r="Q654" s="196"/>
      <c r="R654" s="196"/>
      <c r="S654" s="196"/>
    </row>
    <row r="655" spans="1:19" x14ac:dyDescent="0.2">
      <c r="A655" s="196"/>
      <c r="B655" s="196"/>
      <c r="C655" s="196"/>
      <c r="D655" s="196"/>
      <c r="E655" s="196"/>
      <c r="F655" s="196"/>
      <c r="G655" s="196"/>
      <c r="H655" s="196"/>
      <c r="I655" s="196"/>
      <c r="J655" s="196"/>
      <c r="K655" s="196"/>
      <c r="L655" s="196"/>
      <c r="M655" s="196"/>
      <c r="N655" s="196"/>
      <c r="O655" s="196"/>
      <c r="P655" s="196"/>
      <c r="Q655" s="196"/>
      <c r="R655" s="196"/>
      <c r="S655" s="196"/>
    </row>
    <row r="656" spans="1:19" x14ac:dyDescent="0.2">
      <c r="A656" s="196"/>
      <c r="B656" s="196"/>
      <c r="C656" s="196"/>
      <c r="D656" s="196"/>
      <c r="E656" s="196"/>
      <c r="F656" s="196"/>
      <c r="G656" s="196"/>
      <c r="H656" s="196"/>
      <c r="I656" s="196"/>
      <c r="J656" s="196"/>
      <c r="K656" s="196"/>
      <c r="L656" s="196"/>
      <c r="M656" s="196"/>
      <c r="N656" s="196"/>
      <c r="O656" s="196"/>
      <c r="P656" s="196"/>
      <c r="Q656" s="196"/>
      <c r="R656" s="196"/>
      <c r="S656" s="196"/>
    </row>
    <row r="657" spans="1:19" x14ac:dyDescent="0.2">
      <c r="A657" s="196"/>
      <c r="B657" s="196"/>
      <c r="C657" s="196"/>
      <c r="D657" s="196"/>
      <c r="E657" s="196"/>
      <c r="F657" s="196"/>
      <c r="G657" s="196"/>
      <c r="H657" s="196"/>
      <c r="I657" s="196"/>
      <c r="J657" s="196"/>
      <c r="K657" s="196"/>
      <c r="L657" s="196"/>
      <c r="M657" s="196"/>
      <c r="N657" s="196"/>
      <c r="O657" s="196"/>
      <c r="P657" s="196"/>
      <c r="Q657" s="196"/>
      <c r="R657" s="196"/>
      <c r="S657" s="196"/>
    </row>
    <row r="658" spans="1:19" x14ac:dyDescent="0.2">
      <c r="A658" s="196"/>
      <c r="B658" s="196"/>
      <c r="C658" s="196"/>
      <c r="D658" s="196"/>
      <c r="E658" s="196"/>
      <c r="F658" s="196"/>
      <c r="G658" s="196"/>
      <c r="H658" s="196"/>
      <c r="I658" s="196"/>
      <c r="J658" s="196"/>
      <c r="K658" s="196"/>
      <c r="L658" s="196"/>
      <c r="M658" s="196"/>
      <c r="N658" s="196"/>
      <c r="O658" s="196"/>
      <c r="P658" s="196"/>
      <c r="Q658" s="196"/>
      <c r="R658" s="196"/>
      <c r="S658" s="196"/>
    </row>
    <row r="659" spans="1:19" x14ac:dyDescent="0.2">
      <c r="A659" s="196"/>
      <c r="B659" s="196"/>
      <c r="C659" s="196"/>
      <c r="D659" s="196"/>
      <c r="E659" s="196"/>
      <c r="F659" s="196"/>
      <c r="G659" s="196"/>
      <c r="H659" s="196"/>
      <c r="I659" s="196"/>
      <c r="J659" s="196"/>
      <c r="K659" s="196"/>
      <c r="L659" s="196"/>
      <c r="M659" s="196"/>
      <c r="N659" s="196"/>
      <c r="O659" s="196"/>
      <c r="P659" s="196"/>
      <c r="Q659" s="196"/>
      <c r="R659" s="196"/>
      <c r="S659" s="196"/>
    </row>
    <row r="660" spans="1:19" x14ac:dyDescent="0.2">
      <c r="A660" s="196"/>
      <c r="B660" s="196"/>
      <c r="C660" s="196"/>
      <c r="D660" s="196"/>
      <c r="E660" s="196"/>
      <c r="F660" s="196"/>
      <c r="G660" s="196"/>
      <c r="H660" s="196"/>
      <c r="I660" s="196"/>
      <c r="J660" s="196"/>
      <c r="K660" s="196"/>
      <c r="L660" s="196"/>
      <c r="M660" s="196"/>
      <c r="N660" s="196"/>
      <c r="O660" s="196"/>
      <c r="P660" s="196"/>
      <c r="Q660" s="196"/>
      <c r="R660" s="196"/>
      <c r="S660" s="196"/>
    </row>
    <row r="661" spans="1:19" x14ac:dyDescent="0.2">
      <c r="A661" s="196"/>
      <c r="B661" s="196"/>
      <c r="C661" s="196"/>
      <c r="D661" s="196"/>
      <c r="E661" s="196"/>
      <c r="F661" s="196"/>
      <c r="G661" s="196"/>
      <c r="H661" s="196"/>
      <c r="I661" s="196"/>
      <c r="J661" s="196"/>
      <c r="K661" s="196"/>
      <c r="L661" s="196"/>
      <c r="M661" s="196"/>
      <c r="N661" s="196"/>
      <c r="O661" s="196"/>
      <c r="P661" s="196"/>
      <c r="Q661" s="196"/>
      <c r="R661" s="196"/>
      <c r="S661" s="196"/>
    </row>
    <row r="662" spans="1:19" x14ac:dyDescent="0.2">
      <c r="A662" s="196"/>
      <c r="B662" s="196"/>
      <c r="C662" s="196"/>
      <c r="D662" s="196"/>
      <c r="E662" s="196"/>
      <c r="F662" s="196"/>
      <c r="G662" s="196"/>
      <c r="H662" s="196"/>
      <c r="I662" s="196"/>
      <c r="J662" s="196"/>
      <c r="K662" s="196"/>
      <c r="L662" s="196"/>
      <c r="M662" s="196"/>
      <c r="N662" s="196"/>
      <c r="O662" s="196"/>
      <c r="P662" s="196"/>
      <c r="Q662" s="196"/>
      <c r="R662" s="196"/>
      <c r="S662" s="196"/>
    </row>
    <row r="663" spans="1:19" x14ac:dyDescent="0.2">
      <c r="A663" s="196"/>
      <c r="B663" s="196"/>
      <c r="C663" s="196"/>
      <c r="D663" s="196"/>
      <c r="E663" s="196"/>
      <c r="F663" s="196"/>
      <c r="G663" s="196"/>
      <c r="H663" s="196"/>
      <c r="I663" s="196"/>
      <c r="J663" s="196"/>
      <c r="K663" s="196"/>
      <c r="L663" s="196"/>
      <c r="M663" s="196"/>
      <c r="N663" s="196"/>
      <c r="O663" s="196"/>
      <c r="P663" s="196"/>
      <c r="Q663" s="196"/>
      <c r="R663" s="196"/>
      <c r="S663" s="196"/>
    </row>
    <row r="664" spans="1:19" x14ac:dyDescent="0.2">
      <c r="A664" s="196"/>
      <c r="B664" s="196"/>
      <c r="C664" s="196"/>
      <c r="D664" s="196"/>
      <c r="E664" s="196"/>
      <c r="F664" s="196"/>
      <c r="G664" s="196"/>
      <c r="H664" s="196"/>
      <c r="I664" s="196"/>
      <c r="J664" s="196"/>
      <c r="K664" s="196"/>
      <c r="L664" s="196"/>
      <c r="M664" s="196"/>
      <c r="N664" s="196"/>
      <c r="O664" s="196"/>
      <c r="P664" s="196"/>
      <c r="Q664" s="196"/>
      <c r="R664" s="196"/>
      <c r="S664" s="196"/>
    </row>
    <row r="665" spans="1:19" x14ac:dyDescent="0.2">
      <c r="A665" s="196"/>
      <c r="B665" s="196"/>
      <c r="C665" s="196"/>
      <c r="D665" s="196"/>
      <c r="E665" s="196"/>
      <c r="F665" s="196"/>
      <c r="G665" s="196"/>
      <c r="H665" s="196"/>
      <c r="I665" s="196"/>
      <c r="J665" s="196"/>
      <c r="K665" s="196"/>
      <c r="L665" s="196"/>
      <c r="M665" s="196"/>
      <c r="N665" s="196"/>
      <c r="O665" s="196"/>
      <c r="P665" s="196"/>
      <c r="Q665" s="196"/>
      <c r="R665" s="196"/>
      <c r="S665" s="196"/>
    </row>
    <row r="666" spans="1:19" x14ac:dyDescent="0.2">
      <c r="A666" s="196"/>
      <c r="B666" s="196"/>
      <c r="C666" s="196"/>
      <c r="D666" s="196"/>
      <c r="E666" s="196"/>
      <c r="F666" s="196"/>
      <c r="G666" s="196"/>
      <c r="H666" s="196"/>
      <c r="I666" s="196"/>
      <c r="J666" s="196"/>
      <c r="K666" s="196"/>
      <c r="L666" s="196"/>
      <c r="M666" s="196"/>
      <c r="N666" s="196"/>
      <c r="O666" s="196"/>
      <c r="P666" s="196"/>
      <c r="Q666" s="196"/>
      <c r="R666" s="196"/>
      <c r="S666" s="196"/>
    </row>
    <row r="667" spans="1:19" x14ac:dyDescent="0.2">
      <c r="A667" s="196"/>
      <c r="B667" s="196"/>
      <c r="C667" s="196"/>
      <c r="D667" s="196"/>
      <c r="E667" s="196"/>
      <c r="F667" s="196"/>
      <c r="G667" s="196"/>
      <c r="H667" s="196"/>
      <c r="I667" s="196"/>
      <c r="J667" s="196"/>
      <c r="K667" s="196"/>
      <c r="L667" s="196"/>
      <c r="M667" s="196"/>
      <c r="N667" s="196"/>
      <c r="O667" s="196"/>
      <c r="P667" s="196"/>
      <c r="Q667" s="196"/>
      <c r="R667" s="196"/>
      <c r="S667" s="196"/>
    </row>
    <row r="668" spans="1:19" x14ac:dyDescent="0.2">
      <c r="A668" s="196"/>
      <c r="B668" s="196"/>
      <c r="C668" s="196"/>
      <c r="D668" s="196"/>
      <c r="E668" s="196"/>
      <c r="F668" s="196"/>
      <c r="G668" s="196"/>
      <c r="H668" s="196"/>
      <c r="I668" s="196"/>
      <c r="J668" s="196"/>
      <c r="K668" s="196"/>
      <c r="L668" s="196"/>
      <c r="M668" s="196"/>
      <c r="N668" s="196"/>
      <c r="O668" s="196"/>
      <c r="P668" s="196"/>
      <c r="Q668" s="196"/>
      <c r="R668" s="196"/>
      <c r="S668" s="196"/>
    </row>
    <row r="669" spans="1:19" x14ac:dyDescent="0.2">
      <c r="A669" s="196"/>
      <c r="B669" s="196"/>
      <c r="C669" s="196"/>
      <c r="D669" s="196"/>
      <c r="E669" s="196"/>
      <c r="F669" s="196"/>
      <c r="G669" s="196"/>
      <c r="H669" s="196"/>
      <c r="I669" s="196"/>
      <c r="J669" s="196"/>
      <c r="K669" s="196"/>
      <c r="L669" s="196"/>
      <c r="M669" s="196"/>
      <c r="N669" s="196"/>
      <c r="O669" s="196"/>
      <c r="P669" s="196"/>
      <c r="Q669" s="196"/>
      <c r="R669" s="196"/>
      <c r="S669" s="196"/>
    </row>
    <row r="670" spans="1:19" x14ac:dyDescent="0.2">
      <c r="A670" s="196"/>
      <c r="B670" s="196"/>
      <c r="C670" s="196"/>
      <c r="D670" s="196"/>
      <c r="E670" s="196"/>
      <c r="F670" s="196"/>
      <c r="G670" s="196"/>
      <c r="H670" s="196"/>
      <c r="I670" s="196"/>
      <c r="J670" s="196"/>
      <c r="K670" s="196"/>
      <c r="L670" s="196"/>
      <c r="M670" s="196"/>
      <c r="N670" s="196"/>
      <c r="O670" s="196"/>
      <c r="P670" s="196"/>
      <c r="Q670" s="196"/>
      <c r="R670" s="196"/>
      <c r="S670" s="196"/>
    </row>
    <row r="671" spans="1:19" x14ac:dyDescent="0.2">
      <c r="A671" s="196"/>
      <c r="B671" s="196"/>
      <c r="C671" s="196"/>
      <c r="D671" s="196"/>
      <c r="E671" s="196"/>
      <c r="F671" s="196"/>
      <c r="G671" s="196"/>
      <c r="H671" s="196"/>
      <c r="I671" s="196"/>
      <c r="J671" s="196"/>
      <c r="K671" s="196"/>
      <c r="L671" s="196"/>
      <c r="M671" s="196"/>
      <c r="N671" s="196"/>
      <c r="O671" s="196"/>
      <c r="P671" s="196"/>
      <c r="Q671" s="196"/>
      <c r="R671" s="196"/>
      <c r="S671" s="196"/>
    </row>
    <row r="672" spans="1:19" x14ac:dyDescent="0.2">
      <c r="A672" s="196"/>
      <c r="B672" s="196"/>
      <c r="C672" s="196"/>
      <c r="D672" s="196"/>
      <c r="E672" s="196"/>
      <c r="F672" s="196"/>
      <c r="G672" s="196"/>
      <c r="H672" s="196"/>
      <c r="I672" s="196"/>
      <c r="J672" s="196"/>
      <c r="K672" s="196"/>
      <c r="L672" s="196"/>
      <c r="M672" s="196"/>
      <c r="N672" s="196"/>
      <c r="O672" s="196"/>
      <c r="P672" s="196"/>
      <c r="Q672" s="196"/>
      <c r="R672" s="196"/>
      <c r="S672" s="196"/>
    </row>
    <row r="673" spans="1:19" x14ac:dyDescent="0.2">
      <c r="A673" s="196"/>
      <c r="B673" s="196"/>
      <c r="C673" s="196"/>
      <c r="D673" s="196"/>
      <c r="E673" s="196"/>
      <c r="F673" s="196"/>
      <c r="G673" s="196"/>
      <c r="H673" s="196"/>
      <c r="I673" s="196"/>
      <c r="J673" s="196"/>
      <c r="K673" s="196"/>
      <c r="L673" s="196"/>
      <c r="M673" s="196"/>
      <c r="N673" s="196"/>
      <c r="O673" s="196"/>
      <c r="P673" s="196"/>
      <c r="Q673" s="196"/>
      <c r="R673" s="196"/>
      <c r="S673" s="196"/>
    </row>
    <row r="674" spans="1:19" x14ac:dyDescent="0.2">
      <c r="A674" s="196"/>
      <c r="B674" s="196"/>
      <c r="C674" s="196"/>
      <c r="D674" s="196"/>
      <c r="E674" s="196"/>
      <c r="F674" s="196"/>
      <c r="G674" s="196"/>
      <c r="H674" s="196"/>
      <c r="I674" s="196"/>
      <c r="J674" s="196"/>
      <c r="K674" s="196"/>
      <c r="L674" s="196"/>
      <c r="M674" s="196"/>
      <c r="N674" s="196"/>
      <c r="O674" s="196"/>
      <c r="P674" s="196"/>
      <c r="Q674" s="196"/>
      <c r="R674" s="196"/>
      <c r="S674" s="196"/>
    </row>
    <row r="675" spans="1:19" x14ac:dyDescent="0.2">
      <c r="A675" s="196"/>
      <c r="B675" s="196"/>
      <c r="C675" s="196"/>
      <c r="D675" s="196"/>
      <c r="E675" s="196"/>
      <c r="F675" s="196"/>
      <c r="G675" s="196"/>
      <c r="H675" s="196"/>
      <c r="I675" s="196"/>
      <c r="J675" s="196"/>
      <c r="K675" s="196"/>
      <c r="L675" s="196"/>
      <c r="M675" s="196"/>
      <c r="N675" s="196"/>
      <c r="O675" s="196"/>
      <c r="P675" s="196"/>
      <c r="Q675" s="196"/>
      <c r="R675" s="196"/>
      <c r="S675" s="196"/>
    </row>
    <row r="676" spans="1:19" x14ac:dyDescent="0.2">
      <c r="A676" s="196"/>
      <c r="B676" s="196"/>
      <c r="C676" s="196"/>
      <c r="D676" s="196"/>
      <c r="E676" s="196"/>
      <c r="F676" s="196"/>
      <c r="G676" s="196"/>
      <c r="H676" s="196"/>
      <c r="I676" s="196"/>
      <c r="J676" s="196"/>
      <c r="K676" s="196"/>
      <c r="L676" s="196"/>
      <c r="M676" s="196"/>
      <c r="N676" s="196"/>
      <c r="O676" s="196"/>
      <c r="P676" s="196"/>
      <c r="Q676" s="196"/>
      <c r="R676" s="196"/>
      <c r="S676" s="196"/>
    </row>
    <row r="677" spans="1:19" x14ac:dyDescent="0.2">
      <c r="A677" s="196"/>
      <c r="B677" s="196"/>
      <c r="C677" s="196"/>
      <c r="D677" s="196"/>
      <c r="E677" s="196"/>
      <c r="F677" s="196"/>
      <c r="G677" s="196"/>
      <c r="H677" s="196"/>
      <c r="I677" s="196"/>
      <c r="J677" s="196"/>
      <c r="K677" s="196"/>
      <c r="L677" s="196"/>
      <c r="M677" s="196"/>
      <c r="N677" s="196"/>
      <c r="O677" s="196"/>
      <c r="P677" s="196"/>
      <c r="Q677" s="196"/>
      <c r="R677" s="196"/>
      <c r="S677" s="196"/>
    </row>
    <row r="678" spans="1:19" x14ac:dyDescent="0.2">
      <c r="A678" s="196"/>
      <c r="B678" s="196"/>
      <c r="C678" s="196"/>
      <c r="D678" s="196"/>
      <c r="E678" s="196"/>
      <c r="F678" s="196"/>
      <c r="G678" s="196"/>
      <c r="H678" s="196"/>
      <c r="I678" s="196"/>
      <c r="J678" s="196"/>
      <c r="K678" s="196"/>
      <c r="L678" s="196"/>
      <c r="M678" s="196"/>
      <c r="N678" s="196"/>
      <c r="O678" s="196"/>
      <c r="P678" s="196"/>
      <c r="Q678" s="196"/>
      <c r="R678" s="196"/>
      <c r="S678" s="196"/>
    </row>
    <row r="679" spans="1:19" x14ac:dyDescent="0.2">
      <c r="A679" s="196"/>
      <c r="B679" s="196"/>
      <c r="C679" s="196"/>
      <c r="D679" s="196"/>
      <c r="E679" s="196"/>
      <c r="F679" s="196"/>
      <c r="G679" s="196"/>
      <c r="H679" s="196"/>
      <c r="I679" s="196"/>
      <c r="J679" s="196"/>
      <c r="K679" s="196"/>
      <c r="L679" s="196"/>
      <c r="M679" s="196"/>
      <c r="N679" s="196"/>
      <c r="O679" s="196"/>
      <c r="P679" s="196"/>
      <c r="Q679" s="196"/>
      <c r="R679" s="196"/>
      <c r="S679" s="196"/>
    </row>
    <row r="680" spans="1:19" x14ac:dyDescent="0.2">
      <c r="A680" s="196"/>
      <c r="B680" s="196"/>
      <c r="C680" s="196"/>
      <c r="D680" s="196"/>
      <c r="E680" s="196"/>
      <c r="F680" s="196"/>
      <c r="G680" s="196"/>
      <c r="H680" s="196"/>
      <c r="I680" s="196"/>
      <c r="J680" s="196"/>
      <c r="K680" s="196"/>
      <c r="L680" s="196"/>
      <c r="M680" s="196"/>
      <c r="N680" s="196"/>
      <c r="O680" s="196"/>
      <c r="P680" s="196"/>
      <c r="Q680" s="196"/>
      <c r="R680" s="196"/>
      <c r="S680" s="196"/>
    </row>
    <row r="681" spans="1:19" x14ac:dyDescent="0.2">
      <c r="A681" s="196"/>
      <c r="B681" s="196"/>
      <c r="C681" s="196"/>
      <c r="D681" s="196"/>
      <c r="E681" s="196"/>
      <c r="F681" s="196"/>
      <c r="G681" s="196"/>
      <c r="H681" s="196"/>
      <c r="I681" s="196"/>
      <c r="J681" s="196"/>
      <c r="K681" s="196"/>
      <c r="L681" s="196"/>
      <c r="M681" s="196"/>
      <c r="N681" s="196"/>
      <c r="O681" s="196"/>
      <c r="P681" s="196"/>
      <c r="Q681" s="196"/>
      <c r="R681" s="196"/>
      <c r="S681" s="196"/>
    </row>
    <row r="682" spans="1:19" x14ac:dyDescent="0.2">
      <c r="A682" s="196"/>
      <c r="B682" s="196"/>
      <c r="C682" s="196"/>
      <c r="D682" s="196"/>
      <c r="E682" s="196"/>
      <c r="F682" s="196"/>
      <c r="G682" s="196"/>
      <c r="H682" s="196"/>
      <c r="I682" s="196"/>
      <c r="J682" s="196"/>
      <c r="K682" s="196"/>
      <c r="L682" s="196"/>
      <c r="M682" s="196"/>
      <c r="N682" s="196"/>
      <c r="O682" s="196"/>
      <c r="P682" s="196"/>
      <c r="Q682" s="196"/>
      <c r="R682" s="196"/>
      <c r="S682" s="196"/>
    </row>
    <row r="683" spans="1:19" x14ac:dyDescent="0.2">
      <c r="A683" s="196"/>
      <c r="B683" s="196"/>
      <c r="C683" s="196"/>
      <c r="D683" s="196"/>
      <c r="E683" s="196"/>
      <c r="F683" s="196"/>
      <c r="G683" s="196"/>
      <c r="H683" s="196"/>
      <c r="I683" s="196"/>
      <c r="J683" s="196"/>
      <c r="K683" s="196"/>
      <c r="L683" s="196"/>
      <c r="M683" s="196"/>
      <c r="N683" s="196"/>
      <c r="O683" s="196"/>
      <c r="P683" s="196"/>
      <c r="Q683" s="196"/>
      <c r="R683" s="196"/>
      <c r="S683" s="196"/>
    </row>
    <row r="684" spans="1:19" x14ac:dyDescent="0.2">
      <c r="A684" s="196"/>
      <c r="B684" s="196"/>
      <c r="C684" s="196"/>
      <c r="D684" s="196"/>
      <c r="E684" s="196"/>
      <c r="F684" s="196"/>
      <c r="G684" s="196"/>
      <c r="H684" s="196"/>
      <c r="I684" s="196"/>
      <c r="J684" s="196"/>
      <c r="K684" s="196"/>
      <c r="L684" s="196"/>
      <c r="M684" s="196"/>
      <c r="N684" s="196"/>
      <c r="O684" s="196"/>
      <c r="P684" s="196"/>
      <c r="Q684" s="196"/>
      <c r="R684" s="196"/>
      <c r="S684" s="196"/>
    </row>
    <row r="685" spans="1:19" x14ac:dyDescent="0.2">
      <c r="A685" s="196"/>
      <c r="B685" s="196"/>
      <c r="C685" s="196"/>
      <c r="D685" s="196"/>
      <c r="E685" s="196"/>
      <c r="F685" s="196"/>
      <c r="G685" s="196"/>
      <c r="H685" s="196"/>
      <c r="I685" s="196"/>
      <c r="J685" s="196"/>
      <c r="K685" s="196"/>
      <c r="L685" s="196"/>
      <c r="M685" s="196"/>
      <c r="N685" s="196"/>
      <c r="O685" s="196"/>
      <c r="P685" s="196"/>
      <c r="Q685" s="196"/>
      <c r="R685" s="196"/>
      <c r="S685" s="196"/>
    </row>
    <row r="686" spans="1:19" x14ac:dyDescent="0.2">
      <c r="A686" s="196"/>
      <c r="B686" s="196"/>
      <c r="C686" s="196"/>
      <c r="D686" s="196"/>
      <c r="E686" s="196"/>
      <c r="F686" s="196"/>
      <c r="G686" s="196"/>
      <c r="H686" s="196"/>
      <c r="I686" s="196"/>
      <c r="J686" s="196"/>
      <c r="K686" s="196"/>
      <c r="L686" s="196"/>
      <c r="M686" s="196"/>
      <c r="N686" s="196"/>
      <c r="O686" s="196"/>
      <c r="P686" s="196"/>
      <c r="Q686" s="196"/>
      <c r="R686" s="196"/>
      <c r="S686" s="196"/>
    </row>
    <row r="687" spans="1:19" x14ac:dyDescent="0.2">
      <c r="A687" s="196"/>
      <c r="B687" s="196"/>
      <c r="C687" s="196"/>
      <c r="D687" s="196"/>
      <c r="E687" s="196"/>
      <c r="F687" s="196"/>
      <c r="G687" s="196"/>
      <c r="H687" s="196"/>
      <c r="I687" s="196"/>
      <c r="J687" s="196"/>
      <c r="K687" s="196"/>
      <c r="L687" s="196"/>
      <c r="M687" s="196"/>
      <c r="N687" s="196"/>
      <c r="O687" s="196"/>
      <c r="P687" s="196"/>
      <c r="Q687" s="196"/>
      <c r="R687" s="196"/>
      <c r="S687" s="196"/>
    </row>
    <row r="688" spans="1:19" x14ac:dyDescent="0.2">
      <c r="A688" s="196"/>
      <c r="B688" s="196"/>
      <c r="C688" s="196"/>
      <c r="D688" s="196"/>
      <c r="E688" s="196"/>
      <c r="F688" s="196"/>
      <c r="G688" s="196"/>
      <c r="H688" s="196"/>
      <c r="I688" s="196"/>
      <c r="J688" s="196"/>
      <c r="K688" s="196"/>
      <c r="L688" s="196"/>
      <c r="M688" s="196"/>
      <c r="N688" s="196"/>
      <c r="O688" s="196"/>
      <c r="P688" s="196"/>
      <c r="Q688" s="196"/>
      <c r="R688" s="196"/>
      <c r="S688" s="196"/>
    </row>
    <row r="689" spans="1:19" x14ac:dyDescent="0.2">
      <c r="A689" s="196"/>
      <c r="B689" s="196"/>
      <c r="C689" s="196"/>
      <c r="D689" s="196"/>
      <c r="E689" s="196"/>
      <c r="F689" s="196"/>
      <c r="G689" s="196"/>
      <c r="H689" s="196"/>
      <c r="I689" s="196"/>
      <c r="J689" s="196"/>
      <c r="K689" s="196"/>
      <c r="L689" s="196"/>
      <c r="M689" s="196"/>
      <c r="N689" s="196"/>
      <c r="O689" s="196"/>
      <c r="P689" s="196"/>
      <c r="Q689" s="196"/>
      <c r="R689" s="196"/>
      <c r="S689" s="196"/>
    </row>
    <row r="690" spans="1:19" x14ac:dyDescent="0.2">
      <c r="A690" s="196"/>
      <c r="B690" s="196"/>
      <c r="C690" s="196"/>
      <c r="D690" s="196"/>
      <c r="E690" s="196"/>
      <c r="F690" s="196"/>
      <c r="G690" s="196"/>
      <c r="H690" s="196"/>
      <c r="I690" s="196"/>
      <c r="J690" s="196"/>
      <c r="K690" s="196"/>
      <c r="L690" s="196"/>
      <c r="M690" s="196"/>
      <c r="N690" s="196"/>
      <c r="O690" s="196"/>
      <c r="P690" s="196"/>
      <c r="Q690" s="196"/>
      <c r="R690" s="196"/>
      <c r="S690" s="196"/>
    </row>
    <row r="691" spans="1:19" x14ac:dyDescent="0.2">
      <c r="A691" s="196"/>
      <c r="B691" s="196"/>
      <c r="C691" s="196"/>
      <c r="D691" s="196"/>
      <c r="E691" s="196"/>
      <c r="F691" s="196"/>
      <c r="G691" s="196"/>
      <c r="H691" s="196"/>
      <c r="I691" s="196"/>
      <c r="J691" s="196"/>
      <c r="K691" s="196"/>
      <c r="L691" s="196"/>
      <c r="M691" s="196"/>
      <c r="N691" s="196"/>
      <c r="O691" s="196"/>
      <c r="P691" s="196"/>
      <c r="Q691" s="196"/>
      <c r="R691" s="196"/>
      <c r="S691" s="196"/>
    </row>
    <row r="692" spans="1:19" x14ac:dyDescent="0.2">
      <c r="A692" s="196"/>
      <c r="B692" s="196"/>
      <c r="C692" s="196"/>
      <c r="D692" s="196"/>
      <c r="E692" s="196"/>
      <c r="F692" s="196"/>
      <c r="G692" s="196"/>
      <c r="H692" s="196"/>
      <c r="I692" s="196"/>
      <c r="J692" s="196"/>
      <c r="K692" s="196"/>
      <c r="L692" s="196"/>
      <c r="M692" s="196"/>
      <c r="N692" s="196"/>
      <c r="O692" s="196"/>
      <c r="P692" s="196"/>
      <c r="Q692" s="196"/>
      <c r="R692" s="196"/>
      <c r="S692" s="196"/>
    </row>
    <row r="693" spans="1:19" x14ac:dyDescent="0.2">
      <c r="A693" s="196"/>
      <c r="B693" s="196"/>
      <c r="C693" s="196"/>
      <c r="D693" s="196"/>
      <c r="E693" s="196"/>
      <c r="F693" s="196"/>
      <c r="G693" s="196"/>
      <c r="H693" s="196"/>
      <c r="I693" s="196"/>
      <c r="J693" s="196"/>
      <c r="K693" s="196"/>
      <c r="L693" s="196"/>
      <c r="M693" s="196"/>
      <c r="N693" s="196"/>
      <c r="O693" s="196"/>
      <c r="P693" s="196"/>
      <c r="Q693" s="196"/>
      <c r="R693" s="196"/>
      <c r="S693" s="196"/>
    </row>
    <row r="694" spans="1:19" x14ac:dyDescent="0.2">
      <c r="A694" s="196"/>
      <c r="B694" s="196"/>
      <c r="C694" s="196"/>
      <c r="D694" s="196"/>
      <c r="E694" s="196"/>
      <c r="F694" s="196"/>
      <c r="G694" s="196"/>
      <c r="H694" s="196"/>
      <c r="I694" s="196"/>
      <c r="J694" s="196"/>
      <c r="K694" s="196"/>
      <c r="L694" s="196"/>
      <c r="M694" s="196"/>
      <c r="N694" s="196"/>
      <c r="O694" s="196"/>
      <c r="P694" s="196"/>
      <c r="Q694" s="196"/>
      <c r="R694" s="196"/>
      <c r="S694" s="196"/>
    </row>
    <row r="695" spans="1:19" x14ac:dyDescent="0.2">
      <c r="A695" s="196"/>
      <c r="B695" s="196"/>
      <c r="C695" s="196"/>
      <c r="D695" s="196"/>
      <c r="E695" s="196"/>
      <c r="F695" s="196"/>
      <c r="G695" s="196"/>
      <c r="H695" s="196"/>
      <c r="I695" s="196"/>
      <c r="J695" s="196"/>
      <c r="K695" s="196"/>
      <c r="L695" s="196"/>
      <c r="M695" s="196"/>
      <c r="N695" s="196"/>
      <c r="O695" s="196"/>
      <c r="P695" s="196"/>
      <c r="Q695" s="196"/>
      <c r="R695" s="196"/>
      <c r="S695" s="196"/>
    </row>
    <row r="696" spans="1:19" x14ac:dyDescent="0.2">
      <c r="A696" s="196"/>
      <c r="B696" s="196"/>
      <c r="C696" s="196"/>
      <c r="D696" s="196"/>
      <c r="E696" s="196"/>
      <c r="F696" s="196"/>
      <c r="G696" s="196"/>
      <c r="H696" s="196"/>
      <c r="I696" s="196"/>
      <c r="J696" s="196"/>
      <c r="K696" s="196"/>
      <c r="L696" s="196"/>
      <c r="M696" s="196"/>
      <c r="N696" s="196"/>
      <c r="O696" s="196"/>
      <c r="P696" s="196"/>
      <c r="Q696" s="196"/>
      <c r="R696" s="196"/>
      <c r="S696" s="196"/>
    </row>
    <row r="697" spans="1:19" x14ac:dyDescent="0.2">
      <c r="A697" s="196"/>
      <c r="B697" s="196"/>
      <c r="C697" s="196"/>
      <c r="D697" s="196"/>
      <c r="E697" s="196"/>
      <c r="F697" s="196"/>
      <c r="G697" s="196"/>
      <c r="H697" s="196"/>
      <c r="I697" s="196"/>
      <c r="J697" s="196"/>
      <c r="K697" s="196"/>
      <c r="L697" s="196"/>
      <c r="M697" s="196"/>
      <c r="N697" s="196"/>
      <c r="O697" s="196"/>
      <c r="P697" s="196"/>
      <c r="Q697" s="196"/>
      <c r="R697" s="196"/>
      <c r="S697" s="196"/>
    </row>
    <row r="698" spans="1:19" x14ac:dyDescent="0.2">
      <c r="A698" s="196"/>
      <c r="B698" s="196"/>
      <c r="C698" s="196"/>
      <c r="D698" s="196"/>
      <c r="E698" s="196"/>
      <c r="F698" s="196"/>
      <c r="G698" s="196"/>
      <c r="H698" s="196"/>
      <c r="I698" s="196"/>
      <c r="J698" s="196"/>
      <c r="K698" s="196"/>
      <c r="L698" s="196"/>
      <c r="M698" s="196"/>
      <c r="N698" s="196"/>
      <c r="O698" s="196"/>
      <c r="P698" s="196"/>
      <c r="Q698" s="196"/>
      <c r="R698" s="196"/>
      <c r="S698" s="196"/>
    </row>
    <row r="699" spans="1:19" x14ac:dyDescent="0.2">
      <c r="A699" s="196"/>
      <c r="B699" s="196"/>
      <c r="C699" s="196"/>
      <c r="D699" s="196"/>
      <c r="E699" s="196"/>
      <c r="F699" s="196"/>
      <c r="G699" s="196"/>
      <c r="H699" s="196"/>
      <c r="I699" s="196"/>
      <c r="J699" s="196"/>
      <c r="K699" s="196"/>
      <c r="L699" s="196"/>
      <c r="M699" s="196"/>
      <c r="N699" s="196"/>
      <c r="O699" s="196"/>
      <c r="P699" s="196"/>
      <c r="Q699" s="196"/>
      <c r="R699" s="196"/>
      <c r="S699" s="196"/>
    </row>
    <row r="700" spans="1:19" x14ac:dyDescent="0.2">
      <c r="A700" s="196"/>
      <c r="B700" s="196"/>
      <c r="C700" s="196"/>
      <c r="D700" s="196"/>
      <c r="E700" s="196"/>
      <c r="F700" s="196"/>
      <c r="G700" s="196"/>
      <c r="H700" s="196"/>
      <c r="I700" s="196"/>
      <c r="J700" s="196"/>
      <c r="K700" s="196"/>
      <c r="L700" s="196"/>
      <c r="M700" s="196"/>
      <c r="N700" s="196"/>
      <c r="O700" s="196"/>
      <c r="P700" s="196"/>
      <c r="Q700" s="196"/>
      <c r="R700" s="196"/>
      <c r="S700" s="196"/>
    </row>
    <row r="701" spans="1:19" x14ac:dyDescent="0.2">
      <c r="A701" s="196"/>
      <c r="B701" s="196"/>
      <c r="C701" s="196"/>
      <c r="D701" s="196"/>
      <c r="E701" s="196"/>
      <c r="F701" s="196"/>
      <c r="G701" s="196"/>
      <c r="H701" s="196"/>
      <c r="I701" s="196"/>
      <c r="J701" s="196"/>
      <c r="K701" s="196"/>
      <c r="L701" s="196"/>
      <c r="M701" s="196"/>
      <c r="N701" s="196"/>
      <c r="O701" s="196"/>
      <c r="P701" s="196"/>
      <c r="Q701" s="196"/>
      <c r="R701" s="196"/>
      <c r="S701" s="196"/>
    </row>
  </sheetData>
  <mergeCells count="7">
    <mergeCell ref="B454:B455"/>
    <mergeCell ref="C454:F454"/>
    <mergeCell ref="A25:B25"/>
    <mergeCell ref="B228:B229"/>
    <mergeCell ref="C228:F228"/>
    <mergeCell ref="B249:B250"/>
    <mergeCell ref="C249:E249"/>
  </mergeCells>
  <dataValidations count="1">
    <dataValidation type="list" allowBlank="1" showInputMessage="1" showErrorMessage="1" sqref="L6" xr:uid="{0D00FBFA-BD71-4FB0-99C7-20EB424FA6A5}">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9C729-2C6E-4AAD-9FDC-F0D3ADDE61B5}">
  <sheetPr codeName="Ark3">
    <tabColor theme="3" tint="0.59999389629810485"/>
    <pageSetUpPr fitToPage="1"/>
  </sheetPr>
  <dimension ref="A1:AY95"/>
  <sheetViews>
    <sheetView showGridLines="0" showZeros="0" zoomScale="70" zoomScaleNormal="70" workbookViewId="0">
      <selection activeCell="G5" sqref="G5"/>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45851</v>
      </c>
      <c r="E1" s="762"/>
      <c r="F1" s="10"/>
      <c r="G1" s="10"/>
      <c r="H1" s="10"/>
      <c r="I1" s="10"/>
      <c r="J1" s="10"/>
      <c r="K1" s="10"/>
      <c r="L1" s="10"/>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92.09</v>
      </c>
      <c r="E2" s="161" t="s">
        <v>18</v>
      </c>
      <c r="F2" s="10"/>
      <c r="G2" s="10"/>
      <c r="H2" s="162"/>
      <c r="I2" s="10"/>
      <c r="J2" s="10"/>
      <c r="K2" s="10"/>
      <c r="L2" s="10"/>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64" t="s">
        <v>662</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f t="shared" ref="AA8:AA80" si="0">SUM(A8:Z8)</f>
        <v>0</v>
      </c>
      <c r="AB8" s="128" t="s">
        <v>183</v>
      </c>
      <c r="AC8" s="19"/>
      <c r="AD8" s="153">
        <v>85.4</v>
      </c>
      <c r="AE8" s="20"/>
      <c r="AF8" s="21"/>
      <c r="AG8" s="19">
        <f t="shared" ref="AG8:AG11" si="1">-AH8/$D$2%</f>
        <v>-1101.7376087896905</v>
      </c>
      <c r="AH8" s="25">
        <f>AK8/AD8%</f>
        <v>1014.5901639344261</v>
      </c>
      <c r="AI8" s="33"/>
      <c r="AJ8" s="25"/>
      <c r="AK8" s="158">
        <f t="shared" ref="AK8:AK11" si="2">SUM(AL8:AT8)</f>
        <v>866.45999999999992</v>
      </c>
      <c r="AL8" s="694">
        <v>299.14999999999998</v>
      </c>
      <c r="AM8" s="695">
        <v>91.68</v>
      </c>
      <c r="AN8" s="695">
        <v>55.93</v>
      </c>
      <c r="AO8" s="695">
        <v>87.49</v>
      </c>
      <c r="AP8" s="695">
        <v>5.78</v>
      </c>
      <c r="AQ8" s="695">
        <v>196.26</v>
      </c>
      <c r="AR8" s="695">
        <v>5.89</v>
      </c>
      <c r="AS8" s="695">
        <v>123.55</v>
      </c>
      <c r="AT8" s="696">
        <v>0.73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f t="shared" si="0"/>
        <v>0</v>
      </c>
      <c r="AB9" s="128" t="s">
        <v>2</v>
      </c>
      <c r="AC9" s="19"/>
      <c r="AD9" s="20"/>
      <c r="AE9" s="20">
        <v>90</v>
      </c>
      <c r="AF9" s="21"/>
      <c r="AG9" s="19">
        <f t="shared" si="1"/>
        <v>-6.6239548267998689</v>
      </c>
      <c r="AH9" s="25">
        <f>AK9/AE9%</f>
        <v>6.1</v>
      </c>
      <c r="AI9" s="33"/>
      <c r="AJ9" s="25"/>
      <c r="AK9" s="158">
        <f t="shared" si="2"/>
        <v>5.49</v>
      </c>
      <c r="AL9" s="155">
        <v>5.49</v>
      </c>
      <c r="AM9" s="172"/>
      <c r="AN9" s="172"/>
      <c r="AO9" s="172"/>
      <c r="AP9" s="172"/>
      <c r="AQ9" s="172"/>
      <c r="AR9" s="172"/>
      <c r="AS9" s="172"/>
      <c r="AT9" s="173"/>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f t="shared" si="0"/>
        <v>0</v>
      </c>
      <c r="AB10" s="128" t="s">
        <v>3</v>
      </c>
      <c r="AC10" s="19"/>
      <c r="AD10" s="20"/>
      <c r="AE10" s="20">
        <v>100</v>
      </c>
      <c r="AF10" s="21"/>
      <c r="AG10" s="19">
        <f t="shared" si="1"/>
        <v>-31.252036051688567</v>
      </c>
      <c r="AH10" s="25">
        <f>AK10/AE10%</f>
        <v>28.78</v>
      </c>
      <c r="AI10" s="33"/>
      <c r="AJ10" s="25"/>
      <c r="AK10" s="158">
        <f t="shared" si="2"/>
        <v>28.78</v>
      </c>
      <c r="AL10" s="155">
        <v>28.78</v>
      </c>
      <c r="AM10" s="172"/>
      <c r="AN10" s="172"/>
      <c r="AO10" s="172"/>
      <c r="AP10" s="172"/>
      <c r="AQ10" s="172"/>
      <c r="AR10" s="172"/>
      <c r="AS10" s="172"/>
      <c r="AT10" s="173"/>
    </row>
    <row r="11" spans="1:51" ht="15" customHeight="1" x14ac:dyDescent="0.2">
      <c r="A11" s="19"/>
      <c r="B11" s="174"/>
      <c r="C11" s="20"/>
      <c r="D11" s="20"/>
      <c r="E11" s="20"/>
      <c r="F11" s="20"/>
      <c r="G11" s="20"/>
      <c r="H11" s="20"/>
      <c r="I11" s="20"/>
      <c r="J11" s="24"/>
      <c r="K11" s="24"/>
      <c r="L11" s="24"/>
      <c r="M11" s="20"/>
      <c r="N11" s="20"/>
      <c r="O11" s="20"/>
      <c r="P11" s="20"/>
      <c r="Q11" s="1">
        <f>AK11-AH11</f>
        <v>14.879999999999999</v>
      </c>
      <c r="R11" s="20"/>
      <c r="S11" s="20"/>
      <c r="T11" s="20"/>
      <c r="U11" s="20"/>
      <c r="V11" s="20"/>
      <c r="W11" s="20"/>
      <c r="X11" s="20"/>
      <c r="Y11" s="20"/>
      <c r="Z11" s="20"/>
      <c r="AA11" s="21">
        <f t="shared" si="0"/>
        <v>14.879999999999999</v>
      </c>
      <c r="AB11" s="128" t="s">
        <v>23</v>
      </c>
      <c r="AC11" s="19"/>
      <c r="AD11" s="20"/>
      <c r="AE11" s="20">
        <v>300</v>
      </c>
      <c r="AF11" s="21"/>
      <c r="AG11" s="19">
        <f t="shared" si="1"/>
        <v>-8.0790531002280375</v>
      </c>
      <c r="AH11" s="156">
        <f>AK11/AE11%</f>
        <v>7.44</v>
      </c>
      <c r="AI11" s="33"/>
      <c r="AJ11" s="25"/>
      <c r="AK11" s="158">
        <f t="shared" si="2"/>
        <v>22.32</v>
      </c>
      <c r="AL11" s="155">
        <v>22.32</v>
      </c>
      <c r="AM11" s="174"/>
      <c r="AN11" s="174"/>
      <c r="AO11" s="174"/>
      <c r="AP11" s="174"/>
      <c r="AQ11" s="174"/>
      <c r="AR11" s="174"/>
      <c r="AS11" s="174"/>
      <c r="AT11" s="169"/>
    </row>
    <row r="12" spans="1:51" ht="15" customHeight="1" x14ac:dyDescent="0.2">
      <c r="A12" s="155">
        <f>AC12%*AG12</f>
        <v>-23.359213482718847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f t="shared" si="0"/>
        <v>-23.359213482718847</v>
      </c>
      <c r="AB12" s="128" t="s">
        <v>10</v>
      </c>
      <c r="AC12" s="19">
        <v>100</v>
      </c>
      <c r="AD12" s="20"/>
      <c r="AE12" s="20"/>
      <c r="AF12" s="21"/>
      <c r="AG12" s="19">
        <f>-SUM(AG13:AG80,AG8:AG11)</f>
        <v>-23.359213482718847</v>
      </c>
      <c r="AH12" s="169"/>
      <c r="AI12" s="170"/>
      <c r="AJ12" s="169"/>
      <c r="AK12" s="171">
        <f t="shared" ref="AK12:AK43" si="3">SUM(AL12:AT12)</f>
        <v>0</v>
      </c>
      <c r="AL12" s="170"/>
      <c r="AM12" s="174"/>
      <c r="AN12" s="174"/>
      <c r="AO12" s="174"/>
      <c r="AP12" s="174"/>
      <c r="AQ12" s="174"/>
      <c r="AR12" s="174"/>
      <c r="AS12" s="174"/>
      <c r="AT12" s="169"/>
    </row>
    <row r="13" spans="1:51" ht="15" customHeight="1" x14ac:dyDescent="0.2">
      <c r="A13" s="176"/>
      <c r="B13" s="153">
        <v>20.79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f t="shared" si="0"/>
        <v>20.79</v>
      </c>
      <c r="AB13" s="178" t="s">
        <v>29</v>
      </c>
      <c r="AC13" s="26"/>
      <c r="AD13" s="28"/>
      <c r="AE13" s="177">
        <v>38</v>
      </c>
      <c r="AF13" s="29"/>
      <c r="AG13" s="26"/>
      <c r="AH13" s="29"/>
      <c r="AI13" s="26"/>
      <c r="AJ13" s="29"/>
      <c r="AK13" s="22">
        <f t="shared" si="3"/>
        <v>7.9002000000000008</v>
      </c>
      <c r="AL13" s="188">
        <f>AA13*AE13%*20%</f>
        <v>1.5800400000000001</v>
      </c>
      <c r="AM13" s="179"/>
      <c r="AN13" s="179"/>
      <c r="AO13" s="179"/>
      <c r="AP13" s="179"/>
      <c r="AQ13" s="179">
        <f>AA13*AE13%*60%</f>
        <v>4.7401200000000001</v>
      </c>
      <c r="AR13" s="179"/>
      <c r="AS13" s="179"/>
      <c r="AT13" s="189">
        <f>AA13*AE13%*20%</f>
        <v>1.5800400000000001</v>
      </c>
    </row>
    <row r="14" spans="1:51" ht="15" customHeight="1" x14ac:dyDescent="0.2">
      <c r="A14" s="19"/>
      <c r="B14" s="174"/>
      <c r="C14" s="20"/>
      <c r="D14" s="20"/>
      <c r="E14" s="153">
        <v>139.65</v>
      </c>
      <c r="F14" s="174"/>
      <c r="G14" s="174"/>
      <c r="H14" s="174"/>
      <c r="I14" s="174"/>
      <c r="J14" s="24"/>
      <c r="K14" s="24"/>
      <c r="L14" s="24"/>
      <c r="M14" s="20"/>
      <c r="N14" s="20"/>
      <c r="O14" s="20"/>
      <c r="P14" s="20"/>
      <c r="Q14" s="174"/>
      <c r="R14" s="174"/>
      <c r="S14" s="174"/>
      <c r="T14" s="174"/>
      <c r="U14" s="174"/>
      <c r="V14" s="174"/>
      <c r="W14" s="174"/>
      <c r="X14" s="174"/>
      <c r="Y14" s="174"/>
      <c r="Z14" s="174"/>
      <c r="AA14" s="21">
        <f t="shared" si="0"/>
        <v>139.65</v>
      </c>
      <c r="AB14" s="128" t="s">
        <v>215</v>
      </c>
      <c r="AC14" s="19"/>
      <c r="AD14" s="20"/>
      <c r="AE14" s="174">
        <v>80</v>
      </c>
      <c r="AF14" s="21"/>
      <c r="AG14" s="19"/>
      <c r="AH14" s="21"/>
      <c r="AI14" s="19"/>
      <c r="AJ14" s="21"/>
      <c r="AK14" s="22">
        <f t="shared" si="3"/>
        <v>111.72000000000001</v>
      </c>
      <c r="AL14" s="30">
        <f t="shared" ref="AL14:AL19" si="4">AA14*AE14%</f>
        <v>111.72000000000001</v>
      </c>
      <c r="AM14" s="20"/>
      <c r="AN14" s="20"/>
      <c r="AO14" s="20"/>
      <c r="AP14" s="20"/>
      <c r="AQ14" s="20"/>
      <c r="AR14" s="20"/>
      <c r="AS14" s="20"/>
      <c r="AT14" s="21"/>
      <c r="AY14" s="23"/>
    </row>
    <row r="15" spans="1:51" ht="15" customHeight="1" x14ac:dyDescent="0.2">
      <c r="A15" s="19"/>
      <c r="B15" s="174"/>
      <c r="C15" s="20"/>
      <c r="D15" s="20"/>
      <c r="E15" s="174"/>
      <c r="F15" s="174"/>
      <c r="G15" s="174"/>
      <c r="H15" s="174"/>
      <c r="I15" s="153">
        <v>304.14999999999998</v>
      </c>
      <c r="J15" s="153"/>
      <c r="K15" s="153"/>
      <c r="L15" s="153"/>
      <c r="M15" s="20"/>
      <c r="N15" s="20"/>
      <c r="O15" s="20"/>
      <c r="P15" s="20"/>
      <c r="Q15" s="174"/>
      <c r="R15" s="174"/>
      <c r="S15" s="174"/>
      <c r="T15" s="174"/>
      <c r="U15" s="174"/>
      <c r="V15" s="174"/>
      <c r="W15" s="174"/>
      <c r="X15" s="174"/>
      <c r="Y15" s="174"/>
      <c r="Z15" s="174"/>
      <c r="AA15" s="21">
        <f t="shared" si="0"/>
        <v>304.14999999999998</v>
      </c>
      <c r="AB15" s="128" t="s">
        <v>216</v>
      </c>
      <c r="AC15" s="19"/>
      <c r="AD15" s="20"/>
      <c r="AE15" s="174">
        <v>85</v>
      </c>
      <c r="AF15" s="21"/>
      <c r="AG15" s="19"/>
      <c r="AH15" s="21"/>
      <c r="AI15" s="19"/>
      <c r="AJ15" s="21"/>
      <c r="AK15" s="22">
        <f t="shared" si="3"/>
        <v>258.52749999999997</v>
      </c>
      <c r="AL15" s="30">
        <f t="shared" si="4"/>
        <v>258.52749999999997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401.24</v>
      </c>
      <c r="W16" s="174"/>
      <c r="X16" s="174"/>
      <c r="Y16" s="174"/>
      <c r="Z16" s="174"/>
      <c r="AA16" s="21">
        <f t="shared" si="0"/>
        <v>401.24</v>
      </c>
      <c r="AB16" s="128" t="s">
        <v>217</v>
      </c>
      <c r="AC16" s="19"/>
      <c r="AD16" s="20"/>
      <c r="AE16" s="174">
        <v>75</v>
      </c>
      <c r="AF16" s="21"/>
      <c r="AG16" s="19"/>
      <c r="AH16" s="21"/>
      <c r="AI16" s="19"/>
      <c r="AJ16" s="21"/>
      <c r="AK16" s="22">
        <f t="shared" si="3"/>
        <v>300.93</v>
      </c>
      <c r="AL16" s="30">
        <f t="shared" si="4"/>
        <v>300.93</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363.11</v>
      </c>
      <c r="V17" s="2"/>
      <c r="W17" s="174"/>
      <c r="X17" s="174"/>
      <c r="Y17" s="174"/>
      <c r="Z17" s="174"/>
      <c r="AA17" s="21">
        <f t="shared" si="0"/>
        <v>363.11</v>
      </c>
      <c r="AB17" s="128" t="s">
        <v>218</v>
      </c>
      <c r="AC17" s="19"/>
      <c r="AD17" s="20"/>
      <c r="AE17" s="174">
        <v>65</v>
      </c>
      <c r="AF17" s="21"/>
      <c r="AG17" s="19"/>
      <c r="AH17" s="21"/>
      <c r="AI17" s="19"/>
      <c r="AJ17" s="21"/>
      <c r="AK17" s="22">
        <f t="shared" si="3"/>
        <v>236.0215</v>
      </c>
      <c r="AL17" s="30">
        <f t="shared" si="4"/>
        <v>236.0215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65.62</v>
      </c>
      <c r="U18" s="2"/>
      <c r="V18" s="2"/>
      <c r="W18" s="174"/>
      <c r="X18" s="174"/>
      <c r="Y18" s="174"/>
      <c r="Z18" s="174"/>
      <c r="AA18" s="21">
        <f t="shared" si="0"/>
        <v>65.62</v>
      </c>
      <c r="AB18" s="128" t="s">
        <v>219</v>
      </c>
      <c r="AC18" s="19"/>
      <c r="AD18" s="20"/>
      <c r="AE18" s="174">
        <v>65</v>
      </c>
      <c r="AF18" s="21"/>
      <c r="AG18" s="19"/>
      <c r="AH18" s="21"/>
      <c r="AI18" s="19"/>
      <c r="AJ18" s="21"/>
      <c r="AK18" s="22">
        <f t="shared" si="3"/>
        <v>42.653000000000006</v>
      </c>
      <c r="AL18" s="30">
        <f t="shared" si="4"/>
        <v>42.653000000000006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7.56</v>
      </c>
      <c r="P19" s="20"/>
      <c r="Q19" s="174"/>
      <c r="R19" s="174"/>
      <c r="S19" s="174"/>
      <c r="T19" s="174"/>
      <c r="U19" s="174"/>
      <c r="V19" s="174"/>
      <c r="W19" s="174"/>
      <c r="X19" s="174"/>
      <c r="Y19" s="174"/>
      <c r="Z19" s="174"/>
      <c r="AA19" s="21">
        <f t="shared" si="0"/>
        <v>7.56</v>
      </c>
      <c r="AB19" s="128" t="s">
        <v>220</v>
      </c>
      <c r="AC19" s="19"/>
      <c r="AD19" s="20"/>
      <c r="AE19" s="20">
        <v>100</v>
      </c>
      <c r="AF19" s="21"/>
      <c r="AG19" s="19"/>
      <c r="AH19" s="21"/>
      <c r="AI19" s="19"/>
      <c r="AJ19" s="21"/>
      <c r="AK19" s="22">
        <f t="shared" si="3"/>
        <v>7.56</v>
      </c>
      <c r="AL19" s="30">
        <f t="shared" si="4"/>
        <v>7.56</v>
      </c>
      <c r="AM19" s="20"/>
      <c r="AN19" s="20"/>
      <c r="AO19" s="20"/>
      <c r="AP19" s="20"/>
      <c r="AQ19" s="20"/>
      <c r="AR19" s="20"/>
      <c r="AS19" s="20"/>
      <c r="AT19" s="21"/>
      <c r="AY19" s="23"/>
    </row>
    <row r="20" spans="1:51" ht="15" customHeight="1" x14ac:dyDescent="0.2">
      <c r="A20" s="19"/>
      <c r="B20" s="20"/>
      <c r="C20" s="174"/>
      <c r="D20" s="174"/>
      <c r="E20" s="153">
        <v>13.49</v>
      </c>
      <c r="F20" s="174"/>
      <c r="G20" s="174"/>
      <c r="H20" s="174"/>
      <c r="I20" s="2"/>
      <c r="J20" s="2"/>
      <c r="K20" s="2"/>
      <c r="L20" s="2"/>
      <c r="M20" s="174"/>
      <c r="N20" s="174"/>
      <c r="O20" s="174"/>
      <c r="P20" s="174"/>
      <c r="Q20" s="174"/>
      <c r="R20" s="174"/>
      <c r="S20" s="174"/>
      <c r="T20" s="174"/>
      <c r="U20" s="174"/>
      <c r="V20" s="174"/>
      <c r="W20" s="174"/>
      <c r="X20" s="174"/>
      <c r="Y20" s="174"/>
      <c r="Z20" s="174"/>
      <c r="AA20" s="21">
        <f t="shared" si="0"/>
        <v>13.49</v>
      </c>
      <c r="AB20" s="128" t="s">
        <v>24</v>
      </c>
      <c r="AC20" s="19"/>
      <c r="AD20" s="20">
        <v>90</v>
      </c>
      <c r="AE20" s="20"/>
      <c r="AF20" s="21"/>
      <c r="AG20" s="19"/>
      <c r="AH20" s="21"/>
      <c r="AI20" s="19"/>
      <c r="AJ20" s="21"/>
      <c r="AK20" s="22">
        <f t="shared" si="3"/>
        <v>12.141</v>
      </c>
      <c r="AL20" s="30"/>
      <c r="AM20" s="20"/>
      <c r="AN20" s="20"/>
      <c r="AO20" s="20"/>
      <c r="AP20" s="20"/>
      <c r="AQ20" s="20">
        <f>AA20*AD20%</f>
        <v>12.141</v>
      </c>
      <c r="AR20" s="20"/>
      <c r="AS20" s="20"/>
      <c r="AT20" s="21"/>
      <c r="AV20" s="23"/>
    </row>
    <row r="21" spans="1:51" ht="15" customHeight="1" x14ac:dyDescent="0.2">
      <c r="A21" s="19"/>
      <c r="B21" s="20"/>
      <c r="C21" s="174"/>
      <c r="D21" s="174"/>
      <c r="E21" s="174"/>
      <c r="F21" s="174"/>
      <c r="G21" s="174"/>
      <c r="H21" s="174"/>
      <c r="I21" s="153">
        <v>884.22</v>
      </c>
      <c r="J21" s="153"/>
      <c r="K21" s="153"/>
      <c r="L21" s="153"/>
      <c r="M21" s="174"/>
      <c r="N21" s="174"/>
      <c r="O21" s="174"/>
      <c r="P21" s="174"/>
      <c r="Q21" s="174"/>
      <c r="R21" s="174"/>
      <c r="S21" s="174"/>
      <c r="T21" s="174"/>
      <c r="U21" s="174"/>
      <c r="V21" s="174"/>
      <c r="W21" s="174"/>
      <c r="X21" s="174"/>
      <c r="Y21" s="174"/>
      <c r="Z21" s="174"/>
      <c r="AA21" s="21">
        <f t="shared" si="0"/>
        <v>884.22</v>
      </c>
      <c r="AB21" s="128" t="s">
        <v>25</v>
      </c>
      <c r="AC21" s="19"/>
      <c r="AD21" s="20">
        <v>90</v>
      </c>
      <c r="AE21" s="20"/>
      <c r="AF21" s="21"/>
      <c r="AG21" s="19"/>
      <c r="AH21" s="21"/>
      <c r="AI21" s="19"/>
      <c r="AJ21" s="21"/>
      <c r="AK21" s="22">
        <f t="shared" si="3"/>
        <v>795.798</v>
      </c>
      <c r="AL21" s="30"/>
      <c r="AM21" s="20"/>
      <c r="AN21" s="20"/>
      <c r="AO21" s="20"/>
      <c r="AP21" s="20"/>
      <c r="AQ21" s="20">
        <f>AA21*AD21%</f>
        <v>795.798</v>
      </c>
      <c r="AR21" s="20"/>
      <c r="AS21" s="20"/>
      <c r="AT21" s="21"/>
      <c r="AV21" s="23"/>
    </row>
    <row r="22" spans="1:51" ht="15" customHeight="1" x14ac:dyDescent="0.2">
      <c r="A22" s="19"/>
      <c r="B22" s="20"/>
      <c r="C22" s="153">
        <v>0</v>
      </c>
      <c r="D22" s="153">
        <v>0.41</v>
      </c>
      <c r="E22" s="153">
        <v>0</v>
      </c>
      <c r="F22" s="153">
        <v>0</v>
      </c>
      <c r="G22" s="2"/>
      <c r="H22" s="153">
        <v>0</v>
      </c>
      <c r="I22" s="153">
        <v>0</v>
      </c>
      <c r="J22" s="2"/>
      <c r="K22" s="2"/>
      <c r="L22" s="2"/>
      <c r="M22" s="2"/>
      <c r="N22" s="2"/>
      <c r="O22" s="2"/>
      <c r="P22" s="2"/>
      <c r="Q22" s="2"/>
      <c r="R22" s="153">
        <v>0</v>
      </c>
      <c r="S22" s="153">
        <v>0</v>
      </c>
      <c r="T22" s="153">
        <v>0</v>
      </c>
      <c r="U22" s="153">
        <v>0</v>
      </c>
      <c r="V22" s="153">
        <v>13.55</v>
      </c>
      <c r="W22" s="153">
        <v>0</v>
      </c>
      <c r="X22" s="153">
        <v>0</v>
      </c>
      <c r="Y22" s="153">
        <v>0</v>
      </c>
      <c r="Z22" s="153">
        <v>0</v>
      </c>
      <c r="AA22" s="21">
        <f t="shared" si="0"/>
        <v>13.96</v>
      </c>
      <c r="AB22" s="128" t="s">
        <v>637</v>
      </c>
      <c r="AC22" s="19"/>
      <c r="AD22" s="20">
        <v>90</v>
      </c>
      <c r="AE22" s="20"/>
      <c r="AF22" s="21"/>
      <c r="AG22" s="19"/>
      <c r="AH22" s="21"/>
      <c r="AI22" s="19"/>
      <c r="AJ22" s="21"/>
      <c r="AK22" s="22">
        <f t="shared" si="3"/>
        <v>12.564000000000002</v>
      </c>
      <c r="AL22" s="175"/>
      <c r="AM22" s="174"/>
      <c r="AN22" s="174"/>
      <c r="AO22" s="174"/>
      <c r="AP22" s="174"/>
      <c r="AQ22" s="174">
        <f>AA22*AD22%</f>
        <v>12.564000000000002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35.5</v>
      </c>
      <c r="P23" s="174"/>
      <c r="Q23" s="174"/>
      <c r="R23" s="174"/>
      <c r="S23" s="174"/>
      <c r="T23" s="174"/>
      <c r="U23" s="174"/>
      <c r="V23" s="174"/>
      <c r="W23" s="174"/>
      <c r="X23" s="174"/>
      <c r="Y23" s="174"/>
      <c r="Z23" s="174"/>
      <c r="AA23" s="21">
        <f t="shared" si="0"/>
        <v>35.5</v>
      </c>
      <c r="AB23" s="128" t="s">
        <v>14</v>
      </c>
      <c r="AC23" s="20">
        <v>100</v>
      </c>
      <c r="AD23" s="20"/>
      <c r="AE23" s="20"/>
      <c r="AF23" s="21"/>
      <c r="AG23" s="19">
        <f>AA23*AC23/100</f>
        <v>35.5</v>
      </c>
      <c r="AH23" s="21"/>
      <c r="AI23" s="19"/>
      <c r="AJ23" s="21"/>
      <c r="AK23" s="22">
        <f t="shared" si="3"/>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945.45</v>
      </c>
      <c r="N24" s="174"/>
      <c r="O24" s="174"/>
      <c r="P24" s="174"/>
      <c r="Q24" s="174"/>
      <c r="R24" s="174"/>
      <c r="S24" s="174"/>
      <c r="T24" s="174"/>
      <c r="U24" s="174"/>
      <c r="V24" s="174"/>
      <c r="W24" s="174"/>
      <c r="X24" s="174"/>
      <c r="Y24" s="174"/>
      <c r="Z24" s="174"/>
      <c r="AA24" s="21">
        <f t="shared" si="0"/>
        <v>945.45</v>
      </c>
      <c r="AB24" s="128" t="s">
        <v>26</v>
      </c>
      <c r="AC24" s="20">
        <v>100</v>
      </c>
      <c r="AD24" s="20"/>
      <c r="AE24" s="20"/>
      <c r="AF24" s="21"/>
      <c r="AG24" s="19">
        <f>AC24*AA24/100</f>
        <v>945.45</v>
      </c>
      <c r="AH24" s="21"/>
      <c r="AI24" s="19"/>
      <c r="AJ24" s="21"/>
      <c r="AK24" s="22">
        <f t="shared" si="3"/>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f t="shared" si="0"/>
        <v>0</v>
      </c>
      <c r="AB25" s="128" t="s">
        <v>75</v>
      </c>
      <c r="AC25" s="170">
        <v>100</v>
      </c>
      <c r="AD25" s="174"/>
      <c r="AE25" s="174"/>
      <c r="AF25" s="169"/>
      <c r="AG25" s="170">
        <f>AC25*AA25/100</f>
        <v>0</v>
      </c>
      <c r="AH25" s="169"/>
      <c r="AI25" s="19"/>
      <c r="AJ25" s="21"/>
      <c r="AK25" s="22">
        <f t="shared" si="3"/>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f t="shared" si="0"/>
        <v>0</v>
      </c>
      <c r="AB26" s="128" t="s">
        <v>638</v>
      </c>
      <c r="AC26" s="153">
        <v>100</v>
      </c>
      <c r="AD26" s="174"/>
      <c r="AE26" s="174"/>
      <c r="AF26" s="169"/>
      <c r="AG26" s="170">
        <f>AC26*AA26/100</f>
        <v>0</v>
      </c>
      <c r="AH26" s="169"/>
      <c r="AI26" s="19"/>
      <c r="AJ26" s="21"/>
      <c r="AK26" s="22">
        <f t="shared" si="3"/>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-1553.9</v>
      </c>
      <c r="J27" s="153"/>
      <c r="K27" s="153"/>
      <c r="L27" s="153"/>
      <c r="M27" s="174"/>
      <c r="N27" s="174"/>
      <c r="O27" s="174"/>
      <c r="P27" s="174"/>
      <c r="Q27" s="24"/>
      <c r="R27" s="24">
        <f>-(I27*33.3%)/AD27%</f>
        <v>517.44869999999992</v>
      </c>
      <c r="S27" s="24">
        <f>-(I27*10.5%)/AD27%</f>
        <v>163.15950000000001</v>
      </c>
      <c r="T27" s="24">
        <f>-(I27*6.6%)/AD27%</f>
        <v>102.55740000000002</v>
      </c>
      <c r="U27" s="24"/>
      <c r="V27" s="24"/>
      <c r="W27" s="24">
        <f>-(I27*49.6%)/AD27%</f>
        <v>770.73440000000005</v>
      </c>
      <c r="X27" s="2"/>
      <c r="Y27" s="2"/>
      <c r="Z27" s="2"/>
      <c r="AA27" s="21">
        <f t="shared" si="0"/>
        <v>0</v>
      </c>
      <c r="AB27" s="129" t="s">
        <v>174</v>
      </c>
      <c r="AC27" s="180"/>
      <c r="AD27" s="172">
        <v>100</v>
      </c>
      <c r="AE27" s="172"/>
      <c r="AF27" s="173"/>
      <c r="AG27" s="181"/>
      <c r="AH27" s="173"/>
      <c r="AI27" s="6"/>
      <c r="AJ27" s="7"/>
      <c r="AK27" s="22">
        <f t="shared" si="3"/>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2"/>
      <c r="R28" s="153">
        <f>AA28*33.3%</f>
        <v>38.861099999999993</v>
      </c>
      <c r="S28" s="2">
        <f>AA28*10.5%</f>
        <v>12.253499999999999</v>
      </c>
      <c r="T28" s="2">
        <f>AA28*6.6%</f>
        <v>7.7021999999999995</v>
      </c>
      <c r="U28" s="2"/>
      <c r="V28" s="2"/>
      <c r="W28" s="153">
        <f>AA28*49.6%</f>
        <v>57.883199999999995</v>
      </c>
      <c r="X28" s="2"/>
      <c r="Y28" s="2"/>
      <c r="Z28" s="2"/>
      <c r="AA28" s="153">
        <v>116.69999999999999</v>
      </c>
      <c r="AB28" s="129" t="s">
        <v>173</v>
      </c>
      <c r="AC28" s="153">
        <v>34.200000000000003</v>
      </c>
      <c r="AD28" s="2"/>
      <c r="AE28" s="172"/>
      <c r="AF28" s="173"/>
      <c r="AG28" s="170">
        <f>AA28*AC28/100</f>
        <v>39.9114</v>
      </c>
      <c r="AH28" s="169"/>
      <c r="AI28" s="170">
        <f>AA28*AE28/100</f>
        <v>0</v>
      </c>
      <c r="AJ28" s="169"/>
      <c r="AK28" s="22">
        <f t="shared" si="3"/>
        <v>0</v>
      </c>
      <c r="AL28" s="175"/>
      <c r="AM28" s="172"/>
      <c r="AN28" s="172"/>
      <c r="AO28" s="172"/>
      <c r="AP28" s="172"/>
      <c r="AQ28" s="172"/>
      <c r="AR28" s="172"/>
      <c r="AS28" s="172"/>
      <c r="AT28" s="21"/>
    </row>
    <row r="29" spans="1:51" ht="15" customHeight="1" x14ac:dyDescent="0.2">
      <c r="A29" s="20"/>
      <c r="B29" s="153">
        <v>0</v>
      </c>
      <c r="C29" s="153">
        <v>0</v>
      </c>
      <c r="D29" s="153">
        <v>0</v>
      </c>
      <c r="E29" s="153">
        <v>0</v>
      </c>
      <c r="F29" s="153">
        <v>0</v>
      </c>
      <c r="G29" s="153">
        <v>0</v>
      </c>
      <c r="H29" s="153">
        <v>0</v>
      </c>
      <c r="I29" s="153">
        <v>0</v>
      </c>
      <c r="J29" s="31"/>
      <c r="K29" s="153"/>
      <c r="L29" s="153"/>
      <c r="M29" s="153">
        <v>0</v>
      </c>
      <c r="N29" s="153">
        <v>0</v>
      </c>
      <c r="O29" s="153">
        <v>0</v>
      </c>
      <c r="P29" s="153">
        <v>0</v>
      </c>
      <c r="Q29" s="153">
        <v>0</v>
      </c>
      <c r="R29" s="153">
        <v>0</v>
      </c>
      <c r="S29" s="153">
        <v>0</v>
      </c>
      <c r="T29" s="153">
        <v>0</v>
      </c>
      <c r="U29" s="153">
        <v>0</v>
      </c>
      <c r="V29" s="153">
        <v>0</v>
      </c>
      <c r="W29" s="153">
        <v>0</v>
      </c>
      <c r="X29" s="153">
        <v>0</v>
      </c>
      <c r="Y29" s="153">
        <v>0</v>
      </c>
      <c r="Z29" s="153">
        <v>0</v>
      </c>
      <c r="AA29" s="21">
        <f t="shared" si="0"/>
        <v>0</v>
      </c>
      <c r="AB29" s="129" t="s">
        <v>184</v>
      </c>
      <c r="AC29" s="153">
        <v>0</v>
      </c>
      <c r="AD29" s="2"/>
      <c r="AE29" s="153">
        <v>0</v>
      </c>
      <c r="AF29" s="169"/>
      <c r="AG29" s="170">
        <f>AA29*AC29/100</f>
        <v>0</v>
      </c>
      <c r="AH29" s="169"/>
      <c r="AI29" s="19">
        <f>AA29*AE29/100</f>
        <v>0</v>
      </c>
      <c r="AJ29" s="21"/>
      <c r="AK29" s="22">
        <f t="shared" si="3"/>
        <v>0</v>
      </c>
      <c r="AL29" s="175"/>
      <c r="AM29" s="174"/>
      <c r="AN29" s="174"/>
      <c r="AO29" s="174"/>
      <c r="AP29" s="174"/>
      <c r="AQ29" s="174"/>
      <c r="AR29" s="174"/>
      <c r="AS29" s="174"/>
      <c r="AT29" s="21"/>
    </row>
    <row r="30" spans="1:51" s="3" customFormat="1" ht="15" customHeight="1" x14ac:dyDescent="0.2">
      <c r="A30" s="20"/>
      <c r="B30" s="153">
        <v>0</v>
      </c>
      <c r="C30" s="153">
        <v>0</v>
      </c>
      <c r="D30" s="153">
        <v>0</v>
      </c>
      <c r="E30" s="153">
        <v>0</v>
      </c>
      <c r="F30" s="153">
        <v>0</v>
      </c>
      <c r="G30" s="153">
        <v>0</v>
      </c>
      <c r="H30" s="153">
        <v>0</v>
      </c>
      <c r="I30" s="153">
        <v>0</v>
      </c>
      <c r="J30" s="643"/>
      <c r="K30" s="2"/>
      <c r="L30" s="2"/>
      <c r="M30" s="153">
        <v>0</v>
      </c>
      <c r="N30" s="153">
        <v>0</v>
      </c>
      <c r="O30" s="153">
        <v>0</v>
      </c>
      <c r="P30" s="153">
        <v>0</v>
      </c>
      <c r="Q30" s="153">
        <v>0</v>
      </c>
      <c r="R30" s="153">
        <v>0</v>
      </c>
      <c r="S30" s="153">
        <v>0</v>
      </c>
      <c r="T30" s="153">
        <v>0</v>
      </c>
      <c r="U30" s="153">
        <v>0</v>
      </c>
      <c r="V30" s="153">
        <v>0</v>
      </c>
      <c r="W30" s="153">
        <v>0</v>
      </c>
      <c r="X30" s="153">
        <v>0</v>
      </c>
      <c r="Y30" s="153">
        <v>0</v>
      </c>
      <c r="Z30" s="153">
        <v>0</v>
      </c>
      <c r="AA30" s="21">
        <f t="shared" si="0"/>
        <v>0</v>
      </c>
      <c r="AB30" s="129" t="s">
        <v>13</v>
      </c>
      <c r="AC30" s="181"/>
      <c r="AD30" s="172"/>
      <c r="AE30" s="153">
        <v>0</v>
      </c>
      <c r="AF30" s="169"/>
      <c r="AG30" s="170"/>
      <c r="AH30" s="169"/>
      <c r="AI30" s="19">
        <f>AA30*AE30/100</f>
        <v>0</v>
      </c>
      <c r="AJ30" s="21"/>
      <c r="AK30" s="22">
        <f t="shared" si="3"/>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f>AI31-AH31</f>
        <v>0</v>
      </c>
      <c r="R31" s="172"/>
      <c r="S31" s="172"/>
      <c r="T31" s="172"/>
      <c r="U31" s="172"/>
      <c r="V31" s="172"/>
      <c r="W31" s="172"/>
      <c r="X31" s="172"/>
      <c r="Y31" s="172"/>
      <c r="Z31" s="172"/>
      <c r="AA31" s="21">
        <f t="shared" si="0"/>
        <v>0</v>
      </c>
      <c r="AB31" s="129" t="s">
        <v>171</v>
      </c>
      <c r="AC31" s="170"/>
      <c r="AD31" s="174"/>
      <c r="AE31" s="153">
        <v>300</v>
      </c>
      <c r="AF31" s="169"/>
      <c r="AG31" s="181">
        <f>-AH31/$D$2%</f>
        <v>0</v>
      </c>
      <c r="AH31" s="153">
        <v>0</v>
      </c>
      <c r="AI31" s="182">
        <f>AH31*AE31%</f>
        <v>0</v>
      </c>
      <c r="AJ31" s="7"/>
      <c r="AK31" s="22">
        <f t="shared" si="3"/>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f t="shared" si="0"/>
        <v>0</v>
      </c>
      <c r="AB32" s="129" t="s">
        <v>172</v>
      </c>
      <c r="AC32" s="170"/>
      <c r="AD32" s="174"/>
      <c r="AE32" s="153">
        <v>100</v>
      </c>
      <c r="AF32" s="169"/>
      <c r="AG32" s="181">
        <f>-AH32/$D$2%</f>
        <v>0</v>
      </c>
      <c r="AH32" s="153">
        <v>0</v>
      </c>
      <c r="AI32" s="170">
        <f>AH32*AE32%</f>
        <v>0</v>
      </c>
      <c r="AJ32" s="7"/>
      <c r="AK32" s="22">
        <f t="shared" si="3"/>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f t="shared" si="0"/>
        <v>0</v>
      </c>
      <c r="AB33" s="129" t="s">
        <v>27</v>
      </c>
      <c r="AC33" s="181"/>
      <c r="AD33" s="172"/>
      <c r="AE33" s="172"/>
      <c r="AF33" s="153">
        <v>79.44</v>
      </c>
      <c r="AG33" s="170"/>
      <c r="AH33" s="169"/>
      <c r="AI33" s="19">
        <f>-SUM(AI29:AI32)</f>
        <v>0</v>
      </c>
      <c r="AJ33" s="21">
        <f>-AI33*AF33%</f>
        <v>0</v>
      </c>
      <c r="AK33" s="22">
        <f>SUM(AL33:AT33)</f>
        <v>0</v>
      </c>
      <c r="AL33" s="157">
        <f>AJ33*64.9%</f>
        <v>0</v>
      </c>
      <c r="AM33" s="157">
        <f>AJ33*9.8%</f>
        <v>0</v>
      </c>
      <c r="AN33" s="153">
        <f>AJ33*13.2%</f>
        <v>0</v>
      </c>
      <c r="AO33" s="153">
        <f>AJ33*7%</f>
        <v>0</v>
      </c>
      <c r="AP33" s="153"/>
      <c r="AQ33" s="153">
        <f>AJ33*3.6%</f>
        <v>0</v>
      </c>
      <c r="AR33" s="153">
        <f>AJ33*1.5%</f>
        <v>0</v>
      </c>
      <c r="AS33" s="153"/>
      <c r="AT33" s="21"/>
    </row>
    <row r="34" spans="1:47" ht="15" customHeight="1" x14ac:dyDescent="0.2">
      <c r="A34" s="20"/>
      <c r="B34" s="153">
        <v>0</v>
      </c>
      <c r="C34" s="153">
        <v>0</v>
      </c>
      <c r="D34" s="153">
        <v>0</v>
      </c>
      <c r="E34" s="153">
        <v>0</v>
      </c>
      <c r="F34" s="153">
        <v>0</v>
      </c>
      <c r="G34" s="153">
        <v>0</v>
      </c>
      <c r="H34" s="153">
        <v>0</v>
      </c>
      <c r="I34" s="153">
        <v>0</v>
      </c>
      <c r="J34" s="31"/>
      <c r="K34" s="153"/>
      <c r="L34" s="153"/>
      <c r="M34" s="153">
        <v>0</v>
      </c>
      <c r="N34" s="153">
        <v>0</v>
      </c>
      <c r="O34" s="153">
        <v>0</v>
      </c>
      <c r="P34" s="153">
        <v>0</v>
      </c>
      <c r="Q34" s="153">
        <v>0</v>
      </c>
      <c r="R34" s="153">
        <v>0</v>
      </c>
      <c r="S34" s="153">
        <v>0</v>
      </c>
      <c r="T34" s="153">
        <v>0</v>
      </c>
      <c r="U34" s="153">
        <v>0</v>
      </c>
      <c r="V34" s="153">
        <v>0</v>
      </c>
      <c r="W34" s="153">
        <v>0</v>
      </c>
      <c r="X34" s="153">
        <v>0</v>
      </c>
      <c r="Y34" s="153">
        <v>0</v>
      </c>
      <c r="Z34" s="153">
        <v>0</v>
      </c>
      <c r="AA34" s="21">
        <f t="shared" si="0"/>
        <v>0</v>
      </c>
      <c r="AB34" s="129" t="s">
        <v>185</v>
      </c>
      <c r="AC34" s="153">
        <v>0</v>
      </c>
      <c r="AD34" s="2"/>
      <c r="AE34" s="153">
        <v>0</v>
      </c>
      <c r="AF34" s="173"/>
      <c r="AG34" s="170">
        <f>AA34*AC34/100</f>
        <v>0</v>
      </c>
      <c r="AH34" s="169"/>
      <c r="AI34" s="19">
        <f>AA34*AE34/100</f>
        <v>0</v>
      </c>
      <c r="AJ34" s="21"/>
      <c r="AK34" s="22">
        <f t="shared" si="3"/>
        <v>0</v>
      </c>
      <c r="AL34" s="180"/>
      <c r="AM34" s="172"/>
      <c r="AN34" s="172"/>
      <c r="AO34" s="172"/>
      <c r="AP34" s="172"/>
      <c r="AQ34" s="172"/>
      <c r="AR34" s="172"/>
      <c r="AS34" s="174"/>
      <c r="AT34" s="21"/>
    </row>
    <row r="35" spans="1:47" ht="15" customHeight="1" x14ac:dyDescent="0.2">
      <c r="A35" s="20"/>
      <c r="B35" s="153">
        <v>0</v>
      </c>
      <c r="C35" s="153">
        <v>0</v>
      </c>
      <c r="D35" s="153">
        <v>0</v>
      </c>
      <c r="E35" s="153">
        <v>0</v>
      </c>
      <c r="F35" s="153">
        <v>0</v>
      </c>
      <c r="G35" s="153">
        <v>0</v>
      </c>
      <c r="H35" s="153">
        <v>0</v>
      </c>
      <c r="I35" s="153">
        <v>0</v>
      </c>
      <c r="J35" s="643"/>
      <c r="K35" s="2"/>
      <c r="L35" s="2"/>
      <c r="M35" s="153">
        <v>0</v>
      </c>
      <c r="N35" s="153">
        <v>0</v>
      </c>
      <c r="O35" s="153">
        <v>0</v>
      </c>
      <c r="P35" s="153">
        <v>0</v>
      </c>
      <c r="Q35" s="153">
        <v>0</v>
      </c>
      <c r="R35" s="153">
        <v>0</v>
      </c>
      <c r="S35" s="153">
        <v>0</v>
      </c>
      <c r="T35" s="153">
        <v>0</v>
      </c>
      <c r="U35" s="153">
        <v>0</v>
      </c>
      <c r="V35" s="153">
        <v>0</v>
      </c>
      <c r="W35" s="153">
        <v>0</v>
      </c>
      <c r="X35" s="153">
        <v>0</v>
      </c>
      <c r="Y35" s="153">
        <v>0</v>
      </c>
      <c r="Z35" s="153">
        <v>0</v>
      </c>
      <c r="AA35" s="21">
        <f t="shared" si="0"/>
        <v>0</v>
      </c>
      <c r="AB35" s="129" t="s">
        <v>7</v>
      </c>
      <c r="AC35" s="181"/>
      <c r="AD35" s="172"/>
      <c r="AE35" s="153">
        <v>0</v>
      </c>
      <c r="AF35" s="173"/>
      <c r="AG35" s="170">
        <f>AA35*AC35/100</f>
        <v>0</v>
      </c>
      <c r="AH35" s="169"/>
      <c r="AI35" s="19">
        <f>AA35*AE35/100</f>
        <v>0</v>
      </c>
      <c r="AJ35" s="21"/>
      <c r="AK35" s="22">
        <f t="shared" si="3"/>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f t="shared" si="0"/>
        <v>0</v>
      </c>
      <c r="AB36" s="130" t="s">
        <v>28</v>
      </c>
      <c r="AC36" s="181"/>
      <c r="AD36" s="172"/>
      <c r="AE36" s="172"/>
      <c r="AF36" s="153">
        <v>79.44</v>
      </c>
      <c r="AG36" s="170"/>
      <c r="AH36" s="169"/>
      <c r="AI36" s="19">
        <f>-SUM(AI34:AI35)</f>
        <v>0</v>
      </c>
      <c r="AJ36" s="21">
        <f>-AI36*AF36%</f>
        <v>0</v>
      </c>
      <c r="AK36" s="22">
        <f t="shared" si="3"/>
        <v>0</v>
      </c>
      <c r="AL36" s="157">
        <f>AJ36*64.9%</f>
        <v>0</v>
      </c>
      <c r="AM36" s="157">
        <f>AJ36*9.8%</f>
        <v>0</v>
      </c>
      <c r="AN36" s="153">
        <f>AJ36*13.2%</f>
        <v>0</v>
      </c>
      <c r="AO36" s="153">
        <f>AJ36*7%</f>
        <v>0</v>
      </c>
      <c r="AP36" s="153"/>
      <c r="AQ36" s="153">
        <f>AJ36*3.6%</f>
        <v>0</v>
      </c>
      <c r="AR36" s="153">
        <f>AJ36*1.5%</f>
        <v>0</v>
      </c>
      <c r="AS36" s="153"/>
      <c r="AT36" s="21"/>
    </row>
    <row r="37" spans="1:47" ht="15" customHeight="1" x14ac:dyDescent="0.2">
      <c r="A37" s="20"/>
      <c r="B37" s="153">
        <v>0</v>
      </c>
      <c r="C37" s="153">
        <v>0</v>
      </c>
      <c r="D37" s="153">
        <v>0</v>
      </c>
      <c r="E37" s="153">
        <v>0</v>
      </c>
      <c r="F37" s="153">
        <v>0</v>
      </c>
      <c r="G37" s="153">
        <v>0</v>
      </c>
      <c r="H37" s="153">
        <v>0</v>
      </c>
      <c r="I37" s="153">
        <v>91.2</v>
      </c>
      <c r="J37" s="31"/>
      <c r="K37" s="153"/>
      <c r="L37" s="153"/>
      <c r="M37" s="153">
        <v>0</v>
      </c>
      <c r="N37" s="153">
        <v>0</v>
      </c>
      <c r="O37" s="153">
        <v>0</v>
      </c>
      <c r="P37" s="153">
        <v>0</v>
      </c>
      <c r="Q37" s="153">
        <v>0</v>
      </c>
      <c r="R37" s="153">
        <v>0</v>
      </c>
      <c r="S37" s="153">
        <v>0</v>
      </c>
      <c r="T37" s="153">
        <v>0</v>
      </c>
      <c r="U37" s="153">
        <v>0</v>
      </c>
      <c r="V37" s="153">
        <v>443</v>
      </c>
      <c r="W37" s="153">
        <v>0</v>
      </c>
      <c r="X37" s="153">
        <v>0</v>
      </c>
      <c r="Y37" s="153">
        <v>0</v>
      </c>
      <c r="Z37" s="153">
        <v>0</v>
      </c>
      <c r="AA37" s="21">
        <f t="shared" si="0"/>
        <v>534.20000000000005</v>
      </c>
      <c r="AB37" s="130" t="s">
        <v>186</v>
      </c>
      <c r="AC37" s="153">
        <v>27.5</v>
      </c>
      <c r="AD37" s="2"/>
      <c r="AE37" s="153">
        <v>51.3</v>
      </c>
      <c r="AF37" s="173"/>
      <c r="AG37" s="19">
        <f>AA37*AC37/100</f>
        <v>146.90500000000003</v>
      </c>
      <c r="AH37" s="21"/>
      <c r="AI37" s="19">
        <f t="shared" ref="AI37:AI42" si="5">AA37*AE37/100</f>
        <v>274.0446</v>
      </c>
      <c r="AJ37" s="21"/>
      <c r="AK37" s="22">
        <f t="shared" si="3"/>
        <v>0</v>
      </c>
      <c r="AL37" s="175"/>
      <c r="AM37" s="174"/>
      <c r="AN37" s="174"/>
      <c r="AO37" s="174"/>
      <c r="AP37" s="174"/>
      <c r="AQ37" s="174"/>
      <c r="AR37" s="174"/>
      <c r="AS37" s="174"/>
      <c r="AT37" s="21"/>
    </row>
    <row r="38" spans="1:47" ht="15" customHeight="1" x14ac:dyDescent="0.2">
      <c r="A38" s="20"/>
      <c r="B38" s="153">
        <v>0</v>
      </c>
      <c r="C38" s="153">
        <v>0</v>
      </c>
      <c r="D38" s="153">
        <v>0</v>
      </c>
      <c r="E38" s="153">
        <v>0.02</v>
      </c>
      <c r="F38" s="153">
        <v>0</v>
      </c>
      <c r="G38" s="153">
        <v>0</v>
      </c>
      <c r="H38" s="153">
        <v>0</v>
      </c>
      <c r="I38" s="153">
        <v>67.5</v>
      </c>
      <c r="J38" s="643"/>
      <c r="K38" s="2"/>
      <c r="L38" s="2"/>
      <c r="M38" s="153">
        <v>0</v>
      </c>
      <c r="N38" s="153">
        <v>0</v>
      </c>
      <c r="O38" s="153">
        <v>0</v>
      </c>
      <c r="P38" s="153">
        <v>0</v>
      </c>
      <c r="Q38" s="153">
        <v>0</v>
      </c>
      <c r="R38" s="153">
        <v>0</v>
      </c>
      <c r="S38" s="153">
        <v>1.6</v>
      </c>
      <c r="T38" s="153">
        <v>24.5</v>
      </c>
      <c r="U38" s="153">
        <v>146.9</v>
      </c>
      <c r="V38" s="153">
        <v>249.8</v>
      </c>
      <c r="W38" s="153">
        <v>0</v>
      </c>
      <c r="X38" s="153">
        <v>0</v>
      </c>
      <c r="Y38" s="153">
        <v>0</v>
      </c>
      <c r="Z38" s="153">
        <v>0</v>
      </c>
      <c r="AA38" s="21">
        <f t="shared" si="0"/>
        <v>490.32</v>
      </c>
      <c r="AB38" s="130" t="s">
        <v>209</v>
      </c>
      <c r="AC38" s="181"/>
      <c r="AD38" s="172"/>
      <c r="AE38" s="153">
        <v>96.3</v>
      </c>
      <c r="AF38" s="173"/>
      <c r="AG38" s="19">
        <f>AA38*AC38/100</f>
        <v>0</v>
      </c>
      <c r="AH38" s="21"/>
      <c r="AI38" s="19">
        <f>AA38*AE38/100</f>
        <v>472.17815999999999</v>
      </c>
      <c r="AJ38" s="21"/>
      <c r="AK38" s="22">
        <f t="shared" si="3"/>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153">
        <v>0</v>
      </c>
      <c r="J39" s="2"/>
      <c r="K39" s="2"/>
      <c r="L39" s="2"/>
      <c r="M39" s="2"/>
      <c r="N39" s="2"/>
      <c r="O39" s="2"/>
      <c r="P39" s="2"/>
      <c r="Q39" s="153">
        <f>AI39-AH39</f>
        <v>0</v>
      </c>
      <c r="R39" s="2"/>
      <c r="S39" s="2"/>
      <c r="T39" s="2"/>
      <c r="U39" s="2"/>
      <c r="V39" s="2"/>
      <c r="W39" s="2"/>
      <c r="X39" s="2"/>
      <c r="Y39" s="2"/>
      <c r="Z39" s="2"/>
      <c r="AA39" s="21">
        <f t="shared" si="0"/>
        <v>0</v>
      </c>
      <c r="AB39" s="130" t="s">
        <v>210</v>
      </c>
      <c r="AC39" s="170"/>
      <c r="AD39" s="174"/>
      <c r="AE39" s="153">
        <v>0</v>
      </c>
      <c r="AF39" s="169"/>
      <c r="AG39" s="181">
        <f>-AH39/$D$2%</f>
        <v>0</v>
      </c>
      <c r="AH39" s="153">
        <v>0</v>
      </c>
      <c r="AI39" s="170">
        <f>(AH39+I39)*AE39%</f>
        <v>0</v>
      </c>
      <c r="AJ39" s="173"/>
      <c r="AK39" s="22">
        <f t="shared" si="3"/>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f t="shared" si="0"/>
        <v>0</v>
      </c>
      <c r="AB40" s="130" t="s">
        <v>211</v>
      </c>
      <c r="AC40" s="170"/>
      <c r="AD40" s="174"/>
      <c r="AE40" s="153">
        <v>99.690829694323142</v>
      </c>
      <c r="AF40" s="169"/>
      <c r="AG40" s="181">
        <f>-AH40/$D$2%</f>
        <v>0</v>
      </c>
      <c r="AH40" s="153">
        <v>0</v>
      </c>
      <c r="AI40" s="181">
        <f>AH40*AE40%</f>
        <v>0</v>
      </c>
      <c r="AJ40" s="173"/>
      <c r="AK40" s="22">
        <f t="shared" si="3"/>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58.2</v>
      </c>
      <c r="P41" s="2"/>
      <c r="Q41" s="2"/>
      <c r="R41" s="2"/>
      <c r="S41" s="2"/>
      <c r="T41" s="2"/>
      <c r="U41" s="2"/>
      <c r="V41" s="2"/>
      <c r="W41" s="2"/>
      <c r="X41" s="2"/>
      <c r="Y41" s="2"/>
      <c r="Z41" s="2"/>
      <c r="AA41" s="21">
        <f t="shared" si="0"/>
        <v>58.2</v>
      </c>
      <c r="AB41" s="130" t="s">
        <v>212</v>
      </c>
      <c r="AC41" s="181"/>
      <c r="AD41" s="172"/>
      <c r="AE41" s="153">
        <v>98</v>
      </c>
      <c r="AF41" s="173"/>
      <c r="AG41" s="19"/>
      <c r="AH41" s="21"/>
      <c r="AI41" s="19">
        <f t="shared" si="5"/>
        <v>57.036000000000001</v>
      </c>
      <c r="AJ41" s="21"/>
      <c r="AK41" s="22">
        <f t="shared" si="3"/>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f t="shared" si="0"/>
        <v>0</v>
      </c>
      <c r="AB42" s="130" t="s">
        <v>213</v>
      </c>
      <c r="AC42" s="181"/>
      <c r="AD42" s="172"/>
      <c r="AE42" s="153">
        <v>100</v>
      </c>
      <c r="AF42" s="173"/>
      <c r="AG42" s="19">
        <f>AA42*AC42/100</f>
        <v>0</v>
      </c>
      <c r="AH42" s="21"/>
      <c r="AI42" s="19">
        <f t="shared" si="5"/>
        <v>0</v>
      </c>
      <c r="AJ42" s="21"/>
      <c r="AK42" s="22">
        <f t="shared" si="3"/>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f t="shared" si="0"/>
        <v>0</v>
      </c>
      <c r="AB43" s="130" t="s">
        <v>214</v>
      </c>
      <c r="AC43" s="181"/>
      <c r="AD43" s="172"/>
      <c r="AE43" s="172"/>
      <c r="AF43" s="153">
        <v>79.44</v>
      </c>
      <c r="AG43" s="170"/>
      <c r="AH43" s="169"/>
      <c r="AI43" s="170">
        <f>-SUM(AI37:AI42)</f>
        <v>-803.25875999999994</v>
      </c>
      <c r="AJ43" s="169">
        <f>-AI43*AF43%</f>
        <v>638.10875894399999</v>
      </c>
      <c r="AK43" s="22">
        <f t="shared" si="3"/>
        <v>638.10875894399999</v>
      </c>
      <c r="AL43" s="157">
        <f>AJ43*64.9%</f>
        <v>414.13258455465598</v>
      </c>
      <c r="AM43" s="157">
        <f>AJ43*9.8%</f>
        <v>62.534658376511999</v>
      </c>
      <c r="AN43" s="153">
        <f>AJ43*13.2%</f>
        <v>84.230356180607998</v>
      </c>
      <c r="AO43" s="153">
        <f>AJ43*7%</f>
        <v>44.667613126080006</v>
      </c>
      <c r="AP43" s="153"/>
      <c r="AQ43" s="153">
        <f>AJ43*3.6%</f>
        <v>22.971915321984003</v>
      </c>
      <c r="AR43" s="153">
        <f>AJ43*1.5%</f>
        <v>9.5716313841599998</v>
      </c>
      <c r="AS43" s="153"/>
      <c r="AT43" s="21"/>
    </row>
    <row r="44" spans="1:47" ht="15" customHeight="1" x14ac:dyDescent="0.2">
      <c r="A44" s="20"/>
      <c r="B44" s="153">
        <v>0</v>
      </c>
      <c r="C44" s="153">
        <v>0</v>
      </c>
      <c r="D44" s="153">
        <v>0</v>
      </c>
      <c r="E44" s="153">
        <v>0</v>
      </c>
      <c r="F44" s="153">
        <v>0</v>
      </c>
      <c r="G44" s="153">
        <v>0</v>
      </c>
      <c r="H44" s="153">
        <v>0</v>
      </c>
      <c r="I44" s="153">
        <v>0</v>
      </c>
      <c r="J44" s="31"/>
      <c r="K44" s="153"/>
      <c r="L44" s="153"/>
      <c r="M44" s="153">
        <v>0</v>
      </c>
      <c r="N44" s="153">
        <v>0</v>
      </c>
      <c r="O44" s="153">
        <v>0</v>
      </c>
      <c r="P44" s="153">
        <v>0</v>
      </c>
      <c r="Q44" s="153">
        <v>0</v>
      </c>
      <c r="R44" s="153">
        <v>0</v>
      </c>
      <c r="S44" s="153">
        <v>0</v>
      </c>
      <c r="T44" s="153">
        <v>0</v>
      </c>
      <c r="U44" s="153">
        <v>0</v>
      </c>
      <c r="V44" s="153">
        <v>0</v>
      </c>
      <c r="W44" s="153">
        <v>0</v>
      </c>
      <c r="X44" s="153">
        <v>0</v>
      </c>
      <c r="Y44" s="153">
        <v>0</v>
      </c>
      <c r="Z44" s="153">
        <v>0</v>
      </c>
      <c r="AA44" s="21">
        <f t="shared" si="0"/>
        <v>0</v>
      </c>
      <c r="AB44" s="130" t="s">
        <v>187</v>
      </c>
      <c r="AC44" s="153">
        <v>0</v>
      </c>
      <c r="AD44" s="172"/>
      <c r="AE44" s="153">
        <v>0</v>
      </c>
      <c r="AF44" s="156"/>
      <c r="AG44" s="19">
        <f>AA44*AC44/100</f>
        <v>0</v>
      </c>
      <c r="AH44" s="169"/>
      <c r="AI44" s="170">
        <f>AA44*AE44/100</f>
        <v>0</v>
      </c>
      <c r="AJ44" s="169"/>
      <c r="AK44" s="22">
        <f t="shared" ref="AK44:AK59" si="6">SUM(AL44:AT44)</f>
        <v>0</v>
      </c>
      <c r="AL44" s="157"/>
      <c r="AM44" s="157"/>
      <c r="AN44" s="153"/>
      <c r="AO44" s="153"/>
      <c r="AP44" s="153"/>
      <c r="AQ44" s="153"/>
      <c r="AR44" s="153"/>
      <c r="AS44" s="153"/>
      <c r="AT44" s="21"/>
    </row>
    <row r="45" spans="1:47" ht="15" customHeight="1" x14ac:dyDescent="0.2">
      <c r="A45" s="20"/>
      <c r="B45" s="153">
        <v>0</v>
      </c>
      <c r="C45" s="153">
        <v>0</v>
      </c>
      <c r="D45" s="153">
        <v>0</v>
      </c>
      <c r="E45" s="153">
        <v>0</v>
      </c>
      <c r="F45" s="153">
        <v>0</v>
      </c>
      <c r="G45" s="153">
        <v>0</v>
      </c>
      <c r="H45" s="153">
        <v>0</v>
      </c>
      <c r="I45" s="153">
        <v>0</v>
      </c>
      <c r="J45" s="643"/>
      <c r="K45" s="2"/>
      <c r="L45" s="2"/>
      <c r="M45" s="153">
        <v>0</v>
      </c>
      <c r="N45" s="153">
        <v>0</v>
      </c>
      <c r="O45" s="153">
        <v>0</v>
      </c>
      <c r="P45" s="153">
        <v>0</v>
      </c>
      <c r="Q45" s="153">
        <v>0</v>
      </c>
      <c r="R45" s="153">
        <v>0</v>
      </c>
      <c r="S45" s="153">
        <v>0</v>
      </c>
      <c r="T45" s="153">
        <v>0</v>
      </c>
      <c r="U45" s="153">
        <v>0</v>
      </c>
      <c r="V45" s="153">
        <v>0</v>
      </c>
      <c r="W45" s="153">
        <v>0</v>
      </c>
      <c r="X45" s="153">
        <v>0</v>
      </c>
      <c r="Y45" s="153">
        <v>0</v>
      </c>
      <c r="Z45" s="153">
        <v>0</v>
      </c>
      <c r="AA45" s="29">
        <f t="shared" si="0"/>
        <v>0</v>
      </c>
      <c r="AB45" s="130" t="s">
        <v>188</v>
      </c>
      <c r="AC45" s="181"/>
      <c r="AD45" s="172"/>
      <c r="AE45" s="153">
        <v>0</v>
      </c>
      <c r="AF45" s="173"/>
      <c r="AG45" s="170">
        <f>-AH45/$D$2%</f>
        <v>0</v>
      </c>
      <c r="AH45" s="169"/>
      <c r="AI45" s="170">
        <f>AA45*AE45%</f>
        <v>0</v>
      </c>
      <c r="AJ45" s="169"/>
      <c r="AK45" s="22">
        <f t="shared" si="6"/>
        <v>0</v>
      </c>
      <c r="AL45" s="175"/>
      <c r="AM45" s="174"/>
      <c r="AN45" s="174"/>
      <c r="AO45" s="174"/>
      <c r="AP45" s="174"/>
      <c r="AQ45" s="174"/>
      <c r="AR45" s="174"/>
      <c r="AS45" s="174"/>
      <c r="AT45" s="21"/>
    </row>
    <row r="46" spans="1:47" ht="15" customHeight="1" x14ac:dyDescent="0.2">
      <c r="A46" s="20"/>
      <c r="B46" s="24"/>
      <c r="C46" s="24"/>
      <c r="D46" s="24"/>
      <c r="E46" s="24"/>
      <c r="F46" s="24"/>
      <c r="G46" s="24"/>
      <c r="H46" s="24"/>
      <c r="I46" s="153">
        <v>0</v>
      </c>
      <c r="J46" s="24"/>
      <c r="K46" s="24"/>
      <c r="L46" s="24"/>
      <c r="M46" s="24"/>
      <c r="N46" s="24"/>
      <c r="O46" s="24"/>
      <c r="P46" s="24"/>
      <c r="Q46" s="153">
        <f>AI46-AH46</f>
        <v>0</v>
      </c>
      <c r="R46" s="24"/>
      <c r="S46" s="24"/>
      <c r="T46" s="24"/>
      <c r="U46" s="24"/>
      <c r="V46" s="24"/>
      <c r="W46" s="24"/>
      <c r="X46" s="24"/>
      <c r="Y46" s="24"/>
      <c r="Z46" s="24"/>
      <c r="AA46" s="29">
        <f t="shared" si="0"/>
        <v>0</v>
      </c>
      <c r="AB46" s="130" t="s">
        <v>189</v>
      </c>
      <c r="AC46" s="170"/>
      <c r="AD46" s="174"/>
      <c r="AE46" s="153">
        <v>300</v>
      </c>
      <c r="AF46" s="169"/>
      <c r="AG46" s="170">
        <f>-AH46/$D$2%</f>
        <v>0</v>
      </c>
      <c r="AH46" s="156"/>
      <c r="AI46" s="170">
        <f>(AH46+I46)*AE46%</f>
        <v>0</v>
      </c>
      <c r="AJ46" s="21"/>
      <c r="AK46" s="22">
        <f t="shared" si="6"/>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f t="shared" si="0"/>
        <v>0</v>
      </c>
      <c r="AB47" s="130" t="s">
        <v>190</v>
      </c>
      <c r="AC47" s="170"/>
      <c r="AD47" s="174"/>
      <c r="AE47" s="153">
        <v>100</v>
      </c>
      <c r="AF47" s="169"/>
      <c r="AG47" s="170">
        <f>-AH47/$D$2%</f>
        <v>0</v>
      </c>
      <c r="AH47" s="156"/>
      <c r="AI47" s="181">
        <f>AH47*AE47%</f>
        <v>0</v>
      </c>
      <c r="AJ47" s="169"/>
      <c r="AK47" s="22">
        <f t="shared" si="6"/>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v>0</v>
      </c>
      <c r="P48" s="2"/>
      <c r="Q48" s="2"/>
      <c r="R48" s="2"/>
      <c r="S48" s="2"/>
      <c r="T48" s="2"/>
      <c r="U48" s="2"/>
      <c r="V48" s="2"/>
      <c r="W48" s="2"/>
      <c r="X48" s="2"/>
      <c r="Y48" s="2"/>
      <c r="Z48" s="2"/>
      <c r="AA48" s="29">
        <f t="shared" si="0"/>
        <v>0</v>
      </c>
      <c r="AB48" s="130" t="s">
        <v>191</v>
      </c>
      <c r="AC48" s="170"/>
      <c r="AD48" s="174"/>
      <c r="AE48" s="153">
        <v>100</v>
      </c>
      <c r="AF48" s="169"/>
      <c r="AG48" s="170"/>
      <c r="AH48" s="169"/>
      <c r="AI48" s="170">
        <f>AA48*AE48/100</f>
        <v>0</v>
      </c>
      <c r="AJ48" s="169"/>
      <c r="AK48" s="22">
        <f t="shared" si="6"/>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153">
        <v>0</v>
      </c>
      <c r="Q49" s="2"/>
      <c r="R49" s="2"/>
      <c r="S49" s="2"/>
      <c r="T49" s="2"/>
      <c r="U49" s="2"/>
      <c r="V49" s="2"/>
      <c r="W49" s="2"/>
      <c r="X49" s="2"/>
      <c r="Y49" s="2"/>
      <c r="Z49" s="2"/>
      <c r="AA49" s="29">
        <f t="shared" si="0"/>
        <v>0</v>
      </c>
      <c r="AB49" s="130" t="s">
        <v>192</v>
      </c>
      <c r="AC49" s="181"/>
      <c r="AD49" s="172"/>
      <c r="AE49" s="153">
        <v>100</v>
      </c>
      <c r="AF49" s="173"/>
      <c r="AG49" s="170">
        <f>AA49*AC49%</f>
        <v>0</v>
      </c>
      <c r="AH49" s="169"/>
      <c r="AI49" s="170">
        <f>AA49*AE49%</f>
        <v>0</v>
      </c>
      <c r="AJ49" s="169"/>
      <c r="AK49" s="22">
        <f t="shared" si="6"/>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f t="shared" si="0"/>
        <v>0</v>
      </c>
      <c r="AB50" s="130" t="s">
        <v>193</v>
      </c>
      <c r="AC50" s="181"/>
      <c r="AD50" s="172"/>
      <c r="AE50" s="153">
        <v>100</v>
      </c>
      <c r="AF50" s="173"/>
      <c r="AG50" s="170"/>
      <c r="AH50" s="169"/>
      <c r="AI50" s="153">
        <v>0</v>
      </c>
      <c r="AJ50" s="169"/>
      <c r="AK50" s="22">
        <f t="shared" si="6"/>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f t="shared" si="0"/>
        <v>0</v>
      </c>
      <c r="AB51" s="130" t="s">
        <v>194</v>
      </c>
      <c r="AC51" s="181"/>
      <c r="AD51" s="172"/>
      <c r="AE51" s="172"/>
      <c r="AF51" s="153">
        <v>79.44</v>
      </c>
      <c r="AG51" s="170"/>
      <c r="AH51" s="169"/>
      <c r="AI51" s="6">
        <f>-SUM(AI44:AI50)</f>
        <v>0</v>
      </c>
      <c r="AJ51" s="169">
        <f>-AI51*AF51/100</f>
        <v>0</v>
      </c>
      <c r="AK51" s="22">
        <f t="shared" si="6"/>
        <v>0</v>
      </c>
      <c r="AL51" s="157">
        <f>AJ51*64.9%</f>
        <v>0</v>
      </c>
      <c r="AM51" s="157">
        <f>AJ51*9.8%</f>
        <v>0</v>
      </c>
      <c r="AN51" s="153">
        <f>AJ51*13.2%</f>
        <v>0</v>
      </c>
      <c r="AO51" s="153">
        <f>AJ51*7%</f>
        <v>0</v>
      </c>
      <c r="AP51" s="153"/>
      <c r="AQ51" s="153">
        <f>AJ51*3.6%</f>
        <v>0</v>
      </c>
      <c r="AR51" s="153">
        <f>AJ51*1.5%</f>
        <v>0</v>
      </c>
      <c r="AS51" s="153"/>
      <c r="AT51" s="21"/>
    </row>
    <row r="52" spans="1:46" ht="15" customHeight="1" x14ac:dyDescent="0.2">
      <c r="A52" s="20"/>
      <c r="B52" s="153">
        <v>0</v>
      </c>
      <c r="C52" s="153">
        <v>0</v>
      </c>
      <c r="D52" s="153">
        <v>0</v>
      </c>
      <c r="E52" s="153">
        <v>0</v>
      </c>
      <c r="F52" s="153">
        <v>0</v>
      </c>
      <c r="G52" s="153">
        <v>0</v>
      </c>
      <c r="H52" s="153">
        <v>0</v>
      </c>
      <c r="I52" s="153">
        <v>17.3</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f t="shared" si="0"/>
        <v>17.3</v>
      </c>
      <c r="AB52" s="130" t="s">
        <v>195</v>
      </c>
      <c r="AC52" s="153">
        <v>34.6</v>
      </c>
      <c r="AD52" s="2"/>
      <c r="AE52" s="153">
        <v>42.9</v>
      </c>
      <c r="AF52" s="173"/>
      <c r="AG52" s="19">
        <f t="shared" ref="AG52:AG54" si="7">AC52/100*AA52</f>
        <v>5.9858000000000011</v>
      </c>
      <c r="AH52" s="21"/>
      <c r="AI52" s="19">
        <f>AA52*AE52/100</f>
        <v>7.4216999999999995</v>
      </c>
      <c r="AJ52" s="21"/>
      <c r="AK52" s="22">
        <f t="shared" si="6"/>
        <v>0</v>
      </c>
      <c r="AL52" s="175"/>
      <c r="AM52" s="174"/>
      <c r="AN52" s="174"/>
      <c r="AO52" s="174"/>
      <c r="AP52" s="174"/>
      <c r="AQ52" s="174"/>
      <c r="AR52" s="174"/>
      <c r="AS52" s="174"/>
      <c r="AT52" s="21"/>
    </row>
    <row r="53" spans="1:46" ht="15" customHeight="1" x14ac:dyDescent="0.2">
      <c r="A53" s="20"/>
      <c r="B53" s="153">
        <v>0</v>
      </c>
      <c r="C53" s="153">
        <v>0</v>
      </c>
      <c r="D53" s="153">
        <v>0</v>
      </c>
      <c r="E53" s="153">
        <v>0</v>
      </c>
      <c r="F53" s="153">
        <v>0</v>
      </c>
      <c r="G53" s="153">
        <v>0</v>
      </c>
      <c r="H53" s="153">
        <v>0</v>
      </c>
      <c r="I53" s="153">
        <v>0</v>
      </c>
      <c r="J53" s="31"/>
      <c r="K53" s="153"/>
      <c r="L53" s="153"/>
      <c r="M53" s="153">
        <v>0</v>
      </c>
      <c r="N53" s="153">
        <v>0</v>
      </c>
      <c r="O53" s="153">
        <v>0</v>
      </c>
      <c r="P53" s="153">
        <v>0</v>
      </c>
      <c r="Q53" s="153">
        <v>0</v>
      </c>
      <c r="R53" s="153">
        <v>0</v>
      </c>
      <c r="S53" s="153">
        <v>0</v>
      </c>
      <c r="T53" s="153">
        <v>0</v>
      </c>
      <c r="U53" s="153">
        <v>0</v>
      </c>
      <c r="V53" s="153">
        <v>0</v>
      </c>
      <c r="W53" s="153">
        <v>0</v>
      </c>
      <c r="X53" s="153">
        <v>0</v>
      </c>
      <c r="Y53" s="153">
        <v>0</v>
      </c>
      <c r="Z53" s="153">
        <v>0</v>
      </c>
      <c r="AA53" s="29">
        <f t="shared" si="0"/>
        <v>0</v>
      </c>
      <c r="AB53" s="130" t="s">
        <v>196</v>
      </c>
      <c r="AC53" s="181"/>
      <c r="AD53" s="172"/>
      <c r="AE53" s="153">
        <v>0</v>
      </c>
      <c r="AF53" s="173"/>
      <c r="AG53" s="19">
        <f t="shared" si="7"/>
        <v>0</v>
      </c>
      <c r="AH53" s="21"/>
      <c r="AI53" s="19">
        <f>AA53*AE53/100</f>
        <v>0</v>
      </c>
      <c r="AJ53" s="21"/>
      <c r="AK53" s="22">
        <f t="shared" si="6"/>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f t="shared" si="0"/>
        <v>0</v>
      </c>
      <c r="AB54" s="130" t="s">
        <v>197</v>
      </c>
      <c r="AC54" s="181"/>
      <c r="AD54" s="172"/>
      <c r="AE54" s="153">
        <v>100</v>
      </c>
      <c r="AF54" s="173"/>
      <c r="AG54" s="19">
        <f t="shared" si="7"/>
        <v>0</v>
      </c>
      <c r="AH54" s="156"/>
      <c r="AI54" s="153">
        <v>26.3</v>
      </c>
      <c r="AJ54" s="21"/>
      <c r="AK54" s="22">
        <f t="shared" si="6"/>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f t="shared" si="0"/>
        <v>0</v>
      </c>
      <c r="AB55" s="675" t="s">
        <v>198</v>
      </c>
      <c r="AC55" s="6"/>
      <c r="AD55" s="148"/>
      <c r="AE55" s="148"/>
      <c r="AF55" s="183"/>
      <c r="AG55" s="19">
        <f>-AH55</f>
        <v>-0.4</v>
      </c>
      <c r="AH55" s="153">
        <v>0.4</v>
      </c>
      <c r="AI55" s="141"/>
      <c r="AJ55" s="21"/>
      <c r="AK55" s="22">
        <f t="shared" si="6"/>
        <v>0.4</v>
      </c>
      <c r="AL55" s="175"/>
      <c r="AM55" s="174"/>
      <c r="AN55" s="174"/>
      <c r="AO55" s="174"/>
      <c r="AP55" s="174"/>
      <c r="AQ55" s="174">
        <f>AH55</f>
        <v>0.4</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f t="shared" si="0"/>
        <v>0</v>
      </c>
      <c r="AB56" s="675" t="s">
        <v>656</v>
      </c>
      <c r="AC56" s="6"/>
      <c r="AD56" s="148"/>
      <c r="AE56" s="148"/>
      <c r="AF56" s="173"/>
      <c r="AG56" s="19"/>
      <c r="AH56" s="173"/>
      <c r="AI56" s="153">
        <v>-33.700000000000003</v>
      </c>
      <c r="AJ56" s="21"/>
      <c r="AK56" s="22">
        <f t="shared" si="6"/>
        <v>33.700000000000003</v>
      </c>
      <c r="AL56" s="175"/>
      <c r="AM56" s="174"/>
      <c r="AN56" s="174"/>
      <c r="AO56" s="174"/>
      <c r="AP56" s="174"/>
      <c r="AQ56" s="174">
        <f>-AI56</f>
        <v>33.700000000000003</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f t="shared" si="0"/>
        <v>0</v>
      </c>
      <c r="AB57" s="130" t="s">
        <v>200</v>
      </c>
      <c r="AC57" s="6">
        <v>65</v>
      </c>
      <c r="AD57" s="148"/>
      <c r="AE57" s="148">
        <v>15</v>
      </c>
      <c r="AF57" s="173"/>
      <c r="AG57" s="19">
        <f>-AH57/$D$2%</f>
        <v>0</v>
      </c>
      <c r="AH57" s="173"/>
      <c r="AI57" s="141">
        <f>AH57*AE57%</f>
        <v>0</v>
      </c>
      <c r="AJ57" s="21">
        <f>AI57*AF60%</f>
        <v>0</v>
      </c>
      <c r="AK57" s="22">
        <f t="shared" si="6"/>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f t="shared" si="0"/>
        <v>0</v>
      </c>
      <c r="AB58" s="130" t="s">
        <v>201</v>
      </c>
      <c r="AC58" s="6">
        <v>630</v>
      </c>
      <c r="AD58" s="148"/>
      <c r="AE58" s="148"/>
      <c r="AF58" s="173"/>
      <c r="AG58" s="19">
        <f>-AH58/$D$2%</f>
        <v>0</v>
      </c>
      <c r="AH58" s="173"/>
      <c r="AI58" s="141">
        <f t="shared" ref="AI58:AI59" si="8">AH58*AE58%</f>
        <v>0</v>
      </c>
      <c r="AJ58" s="21">
        <f t="shared" ref="AJ58:AJ59" si="9">AI58*AF61%</f>
        <v>0</v>
      </c>
      <c r="AK58" s="22">
        <f t="shared" si="6"/>
        <v>0</v>
      </c>
      <c r="AL58" s="175"/>
      <c r="AM58" s="175"/>
      <c r="AN58" s="174"/>
      <c r="AO58" s="174"/>
      <c r="AP58" s="174"/>
      <c r="AQ58" s="174"/>
      <c r="AR58" s="174"/>
      <c r="AS58" s="174"/>
      <c r="AT58" s="21"/>
    </row>
    <row r="59" spans="1:46" ht="15" customHeight="1" x14ac:dyDescent="0.2">
      <c r="A59" s="20"/>
      <c r="B59" s="20"/>
      <c r="C59" s="20"/>
      <c r="D59" s="24"/>
      <c r="E59" s="24"/>
      <c r="F59" s="24"/>
      <c r="G59" s="24"/>
      <c r="H59" s="24"/>
      <c r="I59" s="20"/>
      <c r="J59" s="24"/>
      <c r="K59" s="24"/>
      <c r="L59" s="24"/>
      <c r="M59" s="20"/>
      <c r="N59" s="20"/>
      <c r="O59" s="20"/>
      <c r="P59" s="24"/>
      <c r="Q59" s="24"/>
      <c r="R59" s="24"/>
      <c r="S59" s="24"/>
      <c r="T59" s="24"/>
      <c r="U59" s="20"/>
      <c r="V59" s="20"/>
      <c r="W59" s="20"/>
      <c r="X59" s="20"/>
      <c r="Y59" s="20"/>
      <c r="Z59" s="20"/>
      <c r="AA59" s="29">
        <f t="shared" si="0"/>
        <v>0</v>
      </c>
      <c r="AB59" s="130" t="s">
        <v>202</v>
      </c>
      <c r="AC59" s="6"/>
      <c r="AD59" s="148"/>
      <c r="AE59" s="148"/>
      <c r="AF59" s="173"/>
      <c r="AG59" s="19">
        <f>-AH59/$D$2%</f>
        <v>0</v>
      </c>
      <c r="AH59" s="173"/>
      <c r="AI59" s="141">
        <f t="shared" si="8"/>
        <v>0</v>
      </c>
      <c r="AJ59" s="21">
        <f t="shared" si="9"/>
        <v>0</v>
      </c>
      <c r="AK59" s="22">
        <f t="shared" si="6"/>
        <v>0</v>
      </c>
      <c r="AL59" s="175"/>
      <c r="AM59" s="175"/>
      <c r="AN59" s="174"/>
      <c r="AO59" s="174"/>
      <c r="AP59" s="174"/>
      <c r="AQ59" s="174"/>
      <c r="AR59" s="174"/>
      <c r="AS59" s="174"/>
      <c r="AT59" s="21"/>
    </row>
    <row r="60" spans="1:46" ht="15" customHeight="1" x14ac:dyDescent="0.2">
      <c r="A60" s="20"/>
      <c r="B60" s="20"/>
      <c r="C60" s="20"/>
      <c r="D60" s="24"/>
      <c r="E60" s="24"/>
      <c r="F60" s="24"/>
      <c r="G60" s="24"/>
      <c r="H60" s="24"/>
      <c r="I60" s="20"/>
      <c r="J60" s="24"/>
      <c r="K60" s="24"/>
      <c r="L60" s="24"/>
      <c r="M60" s="20"/>
      <c r="N60" s="20"/>
      <c r="O60" s="20"/>
      <c r="P60" s="24"/>
      <c r="Q60" s="24"/>
      <c r="R60" s="24"/>
      <c r="S60" s="24"/>
      <c r="T60" s="24"/>
      <c r="U60" s="20"/>
      <c r="V60" s="20"/>
      <c r="W60" s="20"/>
      <c r="X60" s="20"/>
      <c r="Y60" s="20"/>
      <c r="Z60" s="20"/>
      <c r="AA60" s="29">
        <f t="shared" si="0"/>
        <v>0</v>
      </c>
      <c r="AB60" s="130" t="s">
        <v>203</v>
      </c>
      <c r="AC60" s="6"/>
      <c r="AD60" s="148"/>
      <c r="AE60" s="148"/>
      <c r="AF60" s="153">
        <v>79.44</v>
      </c>
      <c r="AG60" s="19"/>
      <c r="AH60" s="21"/>
      <c r="AI60" s="19">
        <f>-SUM(AI52:AI59)</f>
        <v>-2.1699999999995612E-2</v>
      </c>
      <c r="AJ60" s="21">
        <f>-AI60*AF60/100</f>
        <v>1.7238479999996514E-2</v>
      </c>
      <c r="AK60" s="22">
        <f t="shared" ref="AK60:AK61" si="10">SUM(AL60:AT60)</f>
        <v>1.7238479999996514E-2</v>
      </c>
      <c r="AL60" s="157">
        <f>AJ60*64.9%</f>
        <v>1.1187773519997737E-2</v>
      </c>
      <c r="AM60" s="157">
        <f>AJ60*9.8%</f>
        <v>1.6893710399996584E-3</v>
      </c>
      <c r="AN60" s="153">
        <f>AJ60*13.2%</f>
        <v>2.2754793599995401E-3</v>
      </c>
      <c r="AO60" s="153">
        <f>AJ60*7%</f>
        <v>1.206693599999756E-3</v>
      </c>
      <c r="AP60" s="153"/>
      <c r="AQ60" s="153">
        <f>AJ60*3.6%</f>
        <v>6.2058527999987452E-4</v>
      </c>
      <c r="AR60" s="153">
        <f>AJ60*1.5%</f>
        <v>2.5857719999994772E-4</v>
      </c>
      <c r="AS60" s="153"/>
      <c r="AT60" s="21"/>
    </row>
    <row r="61" spans="1:46" ht="15" customHeight="1" x14ac:dyDescent="0.2">
      <c r="A61" s="19"/>
      <c r="B61" s="20"/>
      <c r="C61" s="20"/>
      <c r="D61" s="24"/>
      <c r="E61" s="24"/>
      <c r="F61" s="172"/>
      <c r="G61" s="172"/>
      <c r="H61" s="153">
        <f>AA61-S61</f>
        <v>392.77069252549671</v>
      </c>
      <c r="I61" s="172"/>
      <c r="J61" s="172"/>
      <c r="K61" s="172"/>
      <c r="L61" s="172"/>
      <c r="M61" s="172"/>
      <c r="N61" s="172"/>
      <c r="O61" s="172"/>
      <c r="P61" s="172"/>
      <c r="Q61" s="172"/>
      <c r="R61" s="172"/>
      <c r="S61" s="153">
        <f>AA61*6.2%</f>
        <v>25.961389058188484</v>
      </c>
      <c r="T61" s="174"/>
      <c r="U61" s="20"/>
      <c r="V61" s="20"/>
      <c r="W61" s="20"/>
      <c r="X61" s="20"/>
      <c r="Y61" s="20"/>
      <c r="Z61" s="20"/>
      <c r="AA61" s="153">
        <v>418.73208158368521</v>
      </c>
      <c r="AB61" s="130" t="s">
        <v>204</v>
      </c>
      <c r="AC61" s="170"/>
      <c r="AD61" s="174">
        <v>19</v>
      </c>
      <c r="AE61" s="174"/>
      <c r="AF61" s="21"/>
      <c r="AG61" s="19"/>
      <c r="AH61" s="21"/>
      <c r="AI61" s="19"/>
      <c r="AJ61" s="21"/>
      <c r="AK61" s="22">
        <f t="shared" si="10"/>
        <v>79.559095500900199</v>
      </c>
      <c r="AL61" s="30"/>
      <c r="AM61" s="20"/>
      <c r="AN61" s="20"/>
      <c r="AO61" s="20"/>
      <c r="AP61" s="20"/>
      <c r="AQ61" s="20"/>
      <c r="AR61" s="20"/>
      <c r="AS61" s="20"/>
      <c r="AT61" s="21">
        <f>AA61*AD61/100</f>
        <v>79.559095500900199</v>
      </c>
    </row>
    <row r="62" spans="1:46" ht="15" customHeight="1" x14ac:dyDescent="0.2">
      <c r="A62" s="19"/>
      <c r="B62" s="20"/>
      <c r="C62" s="20"/>
      <c r="D62" s="24"/>
      <c r="E62" s="24"/>
      <c r="F62" s="153">
        <f>AA62-S62</f>
        <v>456.42909031061879</v>
      </c>
      <c r="G62" s="172"/>
      <c r="H62" s="172"/>
      <c r="I62" s="172"/>
      <c r="J62" s="172"/>
      <c r="K62" s="172"/>
      <c r="L62" s="172"/>
      <c r="M62" s="172"/>
      <c r="N62" s="172"/>
      <c r="O62" s="172"/>
      <c r="P62" s="172"/>
      <c r="Q62" s="172"/>
      <c r="R62" s="172"/>
      <c r="S62" s="153">
        <f>AA62*7.4%</f>
        <v>36.474894906032176</v>
      </c>
      <c r="T62" s="174"/>
      <c r="U62" s="20"/>
      <c r="V62" s="20"/>
      <c r="W62" s="20"/>
      <c r="X62" s="20"/>
      <c r="Y62" s="20"/>
      <c r="Z62" s="20"/>
      <c r="AA62" s="153">
        <v>492.90398521665099</v>
      </c>
      <c r="AB62" s="130" t="s">
        <v>205</v>
      </c>
      <c r="AC62" s="170"/>
      <c r="AD62" s="174">
        <v>24.3</v>
      </c>
      <c r="AE62" s="174"/>
      <c r="AF62" s="21"/>
      <c r="AG62" s="19"/>
      <c r="AH62" s="21"/>
      <c r="AI62" s="19"/>
      <c r="AJ62" s="21"/>
      <c r="AK62" s="22">
        <f t="shared" ref="AK62:AK80" si="11">SUM(AL62:AT62)</f>
        <v>119.77566840764619</v>
      </c>
      <c r="AL62" s="30"/>
      <c r="AM62" s="20"/>
      <c r="AN62" s="20"/>
      <c r="AO62" s="20"/>
      <c r="AP62" s="20"/>
      <c r="AQ62" s="20"/>
      <c r="AR62" s="20"/>
      <c r="AS62" s="20"/>
      <c r="AT62" s="21">
        <f>AA62*AD62/100</f>
        <v>119.77566840764619</v>
      </c>
    </row>
    <row r="63" spans="1:46" ht="15" customHeight="1" x14ac:dyDescent="0.2">
      <c r="A63" s="19"/>
      <c r="B63" s="20"/>
      <c r="C63" s="20"/>
      <c r="D63" s="24"/>
      <c r="E63" s="24"/>
      <c r="F63" s="153"/>
      <c r="G63" s="172"/>
      <c r="H63" s="172"/>
      <c r="I63" s="153">
        <v>2.1838432453552832</v>
      </c>
      <c r="J63" s="172"/>
      <c r="K63" s="172"/>
      <c r="L63" s="172"/>
      <c r="M63" s="172"/>
      <c r="N63" s="172"/>
      <c r="O63" s="172"/>
      <c r="P63" s="172"/>
      <c r="Q63" s="172"/>
      <c r="R63" s="172"/>
      <c r="S63" s="153"/>
      <c r="T63" s="174"/>
      <c r="U63" s="20"/>
      <c r="V63" s="20"/>
      <c r="W63" s="20"/>
      <c r="X63" s="20"/>
      <c r="Y63" s="20"/>
      <c r="Z63" s="20"/>
      <c r="AA63" s="4">
        <f t="shared" ref="AA63:AA66" si="12">SUM(A63:Z63)</f>
        <v>2.1838432453552832</v>
      </c>
      <c r="AB63" s="128" t="s">
        <v>649</v>
      </c>
      <c r="AC63" s="170"/>
      <c r="AD63" s="174">
        <v>22.6</v>
      </c>
      <c r="AE63" s="174"/>
      <c r="AF63" s="21"/>
      <c r="AG63" s="19"/>
      <c r="AH63" s="21"/>
      <c r="AI63" s="19"/>
      <c r="AJ63" s="21"/>
      <c r="AK63" s="22">
        <f t="shared" si="11"/>
        <v>0.49354857345029401</v>
      </c>
      <c r="AL63" s="30"/>
      <c r="AM63" s="20"/>
      <c r="AN63" s="20"/>
      <c r="AO63" s="20"/>
      <c r="AP63" s="20"/>
      <c r="AQ63" s="20"/>
      <c r="AR63" s="20"/>
      <c r="AS63" s="20"/>
      <c r="AT63" s="21">
        <f>AA63*AD63/100</f>
        <v>0.49354857345029401</v>
      </c>
    </row>
    <row r="64" spans="1:46" ht="15" customHeight="1" x14ac:dyDescent="0.2">
      <c r="A64" s="19"/>
      <c r="B64" s="20"/>
      <c r="C64" s="20"/>
      <c r="D64" s="24"/>
      <c r="E64" s="24"/>
      <c r="F64" s="153"/>
      <c r="G64" s="172"/>
      <c r="H64" s="172"/>
      <c r="I64" s="172"/>
      <c r="J64" s="172"/>
      <c r="K64" s="172"/>
      <c r="L64" s="172"/>
      <c r="M64" s="172"/>
      <c r="N64" s="172"/>
      <c r="O64" s="172"/>
      <c r="P64" s="172"/>
      <c r="Q64" s="172"/>
      <c r="R64" s="172"/>
      <c r="S64" s="153"/>
      <c r="T64" s="174"/>
      <c r="U64" s="20"/>
      <c r="V64" s="20"/>
      <c r="W64" s="20"/>
      <c r="X64" s="20"/>
      <c r="Y64" s="20"/>
      <c r="Z64" s="20"/>
      <c r="AA64" s="4">
        <f t="shared" si="12"/>
        <v>0</v>
      </c>
      <c r="AB64" s="129" t="s">
        <v>650</v>
      </c>
      <c r="AC64" s="170">
        <v>70</v>
      </c>
      <c r="AD64" s="174"/>
      <c r="AE64" s="174"/>
      <c r="AF64" s="21"/>
      <c r="AG64" s="19">
        <f t="shared" ref="AG64:AG65" si="13">-AH64/$D$2%</f>
        <v>-1.1202526536538746</v>
      </c>
      <c r="AH64" s="153">
        <v>1.0316406687498532</v>
      </c>
      <c r="AI64" s="19"/>
      <c r="AJ64" s="21"/>
      <c r="AK64" s="22">
        <f t="shared" ref="AK64" si="14">SUM(AL64:AT64)</f>
        <v>0.72214846812489719</v>
      </c>
      <c r="AL64" s="30"/>
      <c r="AM64" s="20"/>
      <c r="AN64" s="20"/>
      <c r="AO64" s="20"/>
      <c r="AP64" s="20"/>
      <c r="AQ64" s="20"/>
      <c r="AR64" s="20"/>
      <c r="AS64" s="20"/>
      <c r="AT64" s="21">
        <f>AH64*AC64%</f>
        <v>0.72214846812489719</v>
      </c>
    </row>
    <row r="65" spans="1:46" ht="15" customHeight="1" x14ac:dyDescent="0.2">
      <c r="A65" s="19"/>
      <c r="B65" s="20"/>
      <c r="C65" s="20"/>
      <c r="D65" s="24"/>
      <c r="E65" s="24"/>
      <c r="F65" s="153"/>
      <c r="G65" s="172"/>
      <c r="H65" s="172">
        <f>AA65-S65</f>
        <v>3.7074879808279246</v>
      </c>
      <c r="I65" s="172"/>
      <c r="J65" s="172"/>
      <c r="K65" s="172"/>
      <c r="L65" s="172"/>
      <c r="M65" s="172"/>
      <c r="N65" s="172"/>
      <c r="O65" s="172"/>
      <c r="P65" s="172"/>
      <c r="Q65" s="172"/>
      <c r="R65" s="172"/>
      <c r="S65" s="153">
        <f>AA65*7.4%</f>
        <v>0.29627873712879749</v>
      </c>
      <c r="T65" s="174"/>
      <c r="U65" s="20"/>
      <c r="V65" s="20"/>
      <c r="W65" s="20"/>
      <c r="X65" s="20"/>
      <c r="Y65" s="20"/>
      <c r="Z65" s="20"/>
      <c r="AA65" s="153">
        <v>4.0037667179567222</v>
      </c>
      <c r="AB65" s="130" t="s">
        <v>645</v>
      </c>
      <c r="AC65" s="170">
        <v>70</v>
      </c>
      <c r="AD65" s="174">
        <v>19</v>
      </c>
      <c r="AE65" s="174"/>
      <c r="AF65" s="21"/>
      <c r="AG65" s="19">
        <f t="shared" si="13"/>
        <v>-1.1800810952201686</v>
      </c>
      <c r="AH65" s="153">
        <f>AA65*AD65%/AC65%</f>
        <v>1.0867366805882532</v>
      </c>
      <c r="AI65" s="19"/>
      <c r="AJ65" s="21"/>
      <c r="AK65" s="22">
        <f t="shared" si="11"/>
        <v>1.5214313528235546</v>
      </c>
      <c r="AL65" s="30"/>
      <c r="AM65" s="20"/>
      <c r="AN65" s="20"/>
      <c r="AO65" s="20"/>
      <c r="AP65" s="20"/>
      <c r="AQ65" s="20"/>
      <c r="AR65" s="20"/>
      <c r="AS65" s="20"/>
      <c r="AT65" s="21">
        <f>AH65*AC65%+AA65*AD65%</f>
        <v>1.5214313528235546</v>
      </c>
    </row>
    <row r="66" spans="1:46" ht="15" customHeight="1" x14ac:dyDescent="0.2">
      <c r="A66" s="19"/>
      <c r="B66" s="20"/>
      <c r="C66" s="20"/>
      <c r="D66" s="24"/>
      <c r="E66" s="24"/>
      <c r="F66" s="153"/>
      <c r="G66" s="172"/>
      <c r="H66" s="172"/>
      <c r="I66" s="172"/>
      <c r="J66" s="172"/>
      <c r="K66" s="172"/>
      <c r="L66" s="172"/>
      <c r="M66" s="172"/>
      <c r="N66" s="172"/>
      <c r="O66" s="172"/>
      <c r="P66" s="172"/>
      <c r="Q66" s="172"/>
      <c r="R66" s="172"/>
      <c r="S66" s="153"/>
      <c r="T66" s="174"/>
      <c r="U66" s="20"/>
      <c r="V66" s="20"/>
      <c r="W66" s="20"/>
      <c r="X66" s="20"/>
      <c r="Y66" s="20"/>
      <c r="Z66" s="20"/>
      <c r="AA66" s="4">
        <f t="shared" si="12"/>
        <v>0</v>
      </c>
      <c r="AB66" s="128" t="s">
        <v>644</v>
      </c>
      <c r="AC66" s="170"/>
      <c r="AD66" s="174">
        <v>40</v>
      </c>
      <c r="AE66" s="174"/>
      <c r="AF66" s="21"/>
      <c r="AG66" s="19"/>
      <c r="AH66" s="21"/>
      <c r="AI66" s="19"/>
      <c r="AJ66" s="21"/>
      <c r="AK66" s="22">
        <f t="shared" si="11"/>
        <v>0</v>
      </c>
      <c r="AL66" s="30"/>
      <c r="AM66" s="20"/>
      <c r="AN66" s="20"/>
      <c r="AO66" s="20"/>
      <c r="AP66" s="20"/>
      <c r="AQ66" s="20"/>
      <c r="AR66" s="20"/>
      <c r="AS66" s="20"/>
      <c r="AT66" s="21">
        <f>AA66*AD66%</f>
        <v>0</v>
      </c>
    </row>
    <row r="67" spans="1:46" ht="15" customHeight="1" x14ac:dyDescent="0.2">
      <c r="A67" s="19"/>
      <c r="B67" s="20"/>
      <c r="C67" s="20"/>
      <c r="D67" s="24"/>
      <c r="E67" s="24"/>
      <c r="F67" s="153">
        <f>AA67-S67</f>
        <v>35.829510593428679</v>
      </c>
      <c r="G67" s="172"/>
      <c r="H67" s="172"/>
      <c r="I67" s="172"/>
      <c r="J67" s="172"/>
      <c r="K67" s="172"/>
      <c r="L67" s="172"/>
      <c r="M67" s="172"/>
      <c r="N67" s="172"/>
      <c r="O67" s="172"/>
      <c r="P67" s="172"/>
      <c r="Q67" s="172"/>
      <c r="R67" s="172"/>
      <c r="S67" s="153">
        <f>AA67*7.4%</f>
        <v>2.8632654253927892</v>
      </c>
      <c r="T67" s="174"/>
      <c r="U67" s="20"/>
      <c r="V67" s="20"/>
      <c r="W67" s="20"/>
      <c r="X67" s="20"/>
      <c r="Y67" s="20"/>
      <c r="Z67" s="20"/>
      <c r="AA67" s="153">
        <v>38.692776018821469</v>
      </c>
      <c r="AB67" s="131" t="s">
        <v>206</v>
      </c>
      <c r="AC67" s="170"/>
      <c r="AD67" s="174">
        <v>29.6</v>
      </c>
      <c r="AE67" s="174"/>
      <c r="AF67" s="21"/>
      <c r="AG67" s="19">
        <f>-AH67/$D$2%</f>
        <v>0</v>
      </c>
      <c r="AH67" s="21"/>
      <c r="AI67" s="19"/>
      <c r="AJ67" s="21"/>
      <c r="AK67" s="22">
        <f t="shared" si="11"/>
        <v>11.453061701571157</v>
      </c>
      <c r="AL67" s="30"/>
      <c r="AM67" s="20"/>
      <c r="AN67" s="20"/>
      <c r="AO67" s="20"/>
      <c r="AP67" s="20"/>
      <c r="AQ67" s="20"/>
      <c r="AR67" s="20"/>
      <c r="AS67" s="20"/>
      <c r="AT67" s="21">
        <f>AA67*AD67%</f>
        <v>11.453061701571157</v>
      </c>
    </row>
    <row r="68" spans="1:46" ht="15" customHeight="1" x14ac:dyDescent="0.2">
      <c r="A68" s="19"/>
      <c r="B68" s="20"/>
      <c r="C68" s="20"/>
      <c r="D68" s="24"/>
      <c r="E68" s="24"/>
      <c r="F68" s="153"/>
      <c r="G68" s="172"/>
      <c r="H68" s="172"/>
      <c r="I68" s="153">
        <v>0</v>
      </c>
      <c r="J68" s="172"/>
      <c r="K68" s="172"/>
      <c r="L68" s="172"/>
      <c r="M68" s="172"/>
      <c r="N68" s="172"/>
      <c r="O68" s="172"/>
      <c r="P68" s="172"/>
      <c r="Q68" s="172"/>
      <c r="R68" s="172"/>
      <c r="S68" s="153"/>
      <c r="T68" s="174"/>
      <c r="U68" s="20"/>
      <c r="V68" s="20"/>
      <c r="W68" s="20"/>
      <c r="X68" s="20"/>
      <c r="Y68" s="20"/>
      <c r="Z68" s="20"/>
      <c r="AA68" s="29">
        <f t="shared" ref="AA68:AA70" si="15">SUM(A68:Z68)</f>
        <v>0</v>
      </c>
      <c r="AB68" s="676" t="s">
        <v>640</v>
      </c>
      <c r="AC68" s="170"/>
      <c r="AD68" s="174">
        <v>26.1</v>
      </c>
      <c r="AE68" s="174"/>
      <c r="AF68" s="21"/>
      <c r="AG68" s="19"/>
      <c r="AH68" s="21"/>
      <c r="AI68" s="19"/>
      <c r="AJ68" s="21"/>
      <c r="AK68" s="22">
        <f t="shared" si="11"/>
        <v>0</v>
      </c>
      <c r="AL68" s="30"/>
      <c r="AM68" s="20"/>
      <c r="AN68" s="20"/>
      <c r="AO68" s="20"/>
      <c r="AP68" s="20"/>
      <c r="AQ68" s="20"/>
      <c r="AR68" s="20"/>
      <c r="AS68" s="20"/>
      <c r="AT68" s="21">
        <f>AA68*AD68%</f>
        <v>0</v>
      </c>
    </row>
    <row r="69" spans="1:46" ht="15" customHeight="1" x14ac:dyDescent="0.2">
      <c r="A69" s="19"/>
      <c r="B69" s="20"/>
      <c r="C69" s="20"/>
      <c r="D69" s="24"/>
      <c r="E69" s="24"/>
      <c r="F69" s="153"/>
      <c r="G69" s="172"/>
      <c r="H69" s="172"/>
      <c r="I69" s="172"/>
      <c r="J69" s="172"/>
      <c r="K69" s="172"/>
      <c r="L69" s="172"/>
      <c r="M69" s="172"/>
      <c r="N69" s="172"/>
      <c r="O69" s="172"/>
      <c r="P69" s="172"/>
      <c r="Q69" s="172"/>
      <c r="R69" s="172"/>
      <c r="S69" s="153"/>
      <c r="T69" s="174"/>
      <c r="U69" s="20"/>
      <c r="V69" s="20"/>
      <c r="W69" s="20"/>
      <c r="X69" s="20"/>
      <c r="Y69" s="20"/>
      <c r="Z69" s="20"/>
      <c r="AA69" s="29">
        <f t="shared" si="15"/>
        <v>0</v>
      </c>
      <c r="AB69" s="676" t="s">
        <v>641</v>
      </c>
      <c r="AC69" s="170"/>
      <c r="AD69" s="174">
        <v>40</v>
      </c>
      <c r="AE69" s="174"/>
      <c r="AF69" s="21"/>
      <c r="AG69" s="19"/>
      <c r="AH69" s="21"/>
      <c r="AI69" s="19"/>
      <c r="AJ69" s="21"/>
      <c r="AK69" s="22">
        <f t="shared" si="11"/>
        <v>0</v>
      </c>
      <c r="AL69" s="30"/>
      <c r="AM69" s="20"/>
      <c r="AN69" s="20"/>
      <c r="AO69" s="20"/>
      <c r="AP69" s="20"/>
      <c r="AQ69" s="20"/>
      <c r="AR69" s="20"/>
      <c r="AS69" s="20"/>
      <c r="AT69" s="21">
        <f t="shared" ref="AT69" si="16">AA69*AD69%</f>
        <v>0</v>
      </c>
    </row>
    <row r="70" spans="1:46" ht="15" customHeight="1" x14ac:dyDescent="0.2">
      <c r="A70" s="19"/>
      <c r="B70" s="20"/>
      <c r="C70" s="20"/>
      <c r="D70" s="24"/>
      <c r="E70" s="24"/>
      <c r="F70" s="153"/>
      <c r="G70" s="172"/>
      <c r="H70" s="172"/>
      <c r="I70" s="172"/>
      <c r="J70" s="172"/>
      <c r="K70" s="172"/>
      <c r="L70" s="172"/>
      <c r="M70" s="172"/>
      <c r="N70" s="172"/>
      <c r="O70" s="172"/>
      <c r="P70" s="172"/>
      <c r="Q70" s="172"/>
      <c r="R70" s="172"/>
      <c r="S70" s="153"/>
      <c r="T70" s="174"/>
      <c r="U70" s="20"/>
      <c r="V70" s="20"/>
      <c r="W70" s="20"/>
      <c r="X70" s="20"/>
      <c r="Y70" s="20"/>
      <c r="Z70" s="20"/>
      <c r="AA70" s="29">
        <f t="shared" si="15"/>
        <v>0</v>
      </c>
      <c r="AB70" s="131" t="s">
        <v>651</v>
      </c>
      <c r="AC70" s="170">
        <v>70</v>
      </c>
      <c r="AD70" s="174"/>
      <c r="AE70" s="174"/>
      <c r="AF70" s="21"/>
      <c r="AG70" s="19">
        <f t="shared" ref="AG70" si="17">-AH70/$D$2%</f>
        <v>0</v>
      </c>
      <c r="AH70" s="153"/>
      <c r="AI70" s="19"/>
      <c r="AJ70" s="21"/>
      <c r="AK70" s="22">
        <f t="shared" ref="AK70:AK79" si="18">SUM(AL70:AT70)</f>
        <v>0</v>
      </c>
      <c r="AL70" s="30"/>
      <c r="AM70" s="20"/>
      <c r="AN70" s="20"/>
      <c r="AO70" s="20"/>
      <c r="AP70" s="20"/>
      <c r="AQ70" s="20"/>
      <c r="AR70" s="20"/>
      <c r="AS70" s="20"/>
      <c r="AT70" s="21">
        <f>AH70*AC70%</f>
        <v>0</v>
      </c>
    </row>
    <row r="71" spans="1:46" ht="15" customHeight="1" x14ac:dyDescent="0.2">
      <c r="A71" s="19"/>
      <c r="B71" s="20"/>
      <c r="C71" s="20"/>
      <c r="D71" s="24"/>
      <c r="E71" s="24"/>
      <c r="F71" s="153">
        <f>AA71-S71</f>
        <v>313.98091226971877</v>
      </c>
      <c r="G71" s="172"/>
      <c r="H71" s="172"/>
      <c r="I71" s="172"/>
      <c r="J71" s="172"/>
      <c r="K71" s="172"/>
      <c r="L71" s="172"/>
      <c r="M71" s="172"/>
      <c r="N71" s="172"/>
      <c r="O71" s="172"/>
      <c r="P71" s="172"/>
      <c r="Q71" s="172"/>
      <c r="R71" s="172"/>
      <c r="S71" s="153">
        <f>AA71*7.4%</f>
        <v>25.091347200819865</v>
      </c>
      <c r="T71" s="174"/>
      <c r="U71" s="20"/>
      <c r="V71" s="20"/>
      <c r="W71" s="20"/>
      <c r="X71" s="20"/>
      <c r="Y71" s="20"/>
      <c r="Z71" s="20"/>
      <c r="AA71" s="697">
        <v>339.07225947053865</v>
      </c>
      <c r="AB71" s="131" t="s">
        <v>207</v>
      </c>
      <c r="AC71" s="170"/>
      <c r="AD71" s="174">
        <v>36.5</v>
      </c>
      <c r="AE71" s="174"/>
      <c r="AF71" s="21"/>
      <c r="AG71" s="19"/>
      <c r="AH71" s="169"/>
      <c r="AI71" s="19"/>
      <c r="AJ71" s="21"/>
      <c r="AK71" s="22">
        <f t="shared" si="18"/>
        <v>123.76137470674661</v>
      </c>
      <c r="AL71" s="30"/>
      <c r="AM71" s="20"/>
      <c r="AN71" s="20"/>
      <c r="AO71" s="20"/>
      <c r="AP71" s="20"/>
      <c r="AQ71" s="20"/>
      <c r="AR71" s="20"/>
      <c r="AS71" s="20"/>
      <c r="AT71" s="21">
        <f>AA71*AD71%</f>
        <v>123.76137470674661</v>
      </c>
    </row>
    <row r="72" spans="1:46" ht="15" customHeight="1" x14ac:dyDescent="0.2">
      <c r="A72" s="19"/>
      <c r="B72" s="20"/>
      <c r="C72" s="20"/>
      <c r="D72" s="24"/>
      <c r="E72" s="24"/>
      <c r="F72" s="153"/>
      <c r="G72" s="172"/>
      <c r="H72" s="172"/>
      <c r="I72" s="2">
        <v>0.57888222103454468</v>
      </c>
      <c r="J72" s="172"/>
      <c r="K72" s="172"/>
      <c r="L72" s="172"/>
      <c r="M72" s="172"/>
      <c r="N72" s="172"/>
      <c r="O72" s="172"/>
      <c r="P72" s="172"/>
      <c r="Q72" s="172"/>
      <c r="R72" s="172"/>
      <c r="S72" s="153"/>
      <c r="T72" s="174"/>
      <c r="U72" s="20"/>
      <c r="V72" s="20"/>
      <c r="W72" s="20"/>
      <c r="X72" s="20"/>
      <c r="Y72" s="20"/>
      <c r="Z72" s="20"/>
      <c r="AA72" s="29">
        <f t="shared" ref="AA72:AA74" si="19">SUM(A72:Z72)</f>
        <v>0.57888222103454468</v>
      </c>
      <c r="AB72" s="676" t="s">
        <v>642</v>
      </c>
      <c r="AC72" s="170"/>
      <c r="AD72" s="174">
        <v>32.200000000000003</v>
      </c>
      <c r="AE72" s="174"/>
      <c r="AF72" s="21"/>
      <c r="AG72" s="19"/>
      <c r="AH72" s="169"/>
      <c r="AI72" s="19"/>
      <c r="AJ72" s="21"/>
      <c r="AK72" s="22">
        <f t="shared" si="18"/>
        <v>0.1864000751731234</v>
      </c>
      <c r="AL72" s="30"/>
      <c r="AM72" s="20"/>
      <c r="AN72" s="20"/>
      <c r="AO72" s="20"/>
      <c r="AP72" s="20"/>
      <c r="AQ72" s="20"/>
      <c r="AR72" s="20"/>
      <c r="AS72" s="20"/>
      <c r="AT72" s="21">
        <f>AA72*AD72%</f>
        <v>0.1864000751731234</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f t="shared" si="19"/>
        <v>0</v>
      </c>
      <c r="AB73" s="676" t="s">
        <v>643</v>
      </c>
      <c r="AC73" s="170"/>
      <c r="AD73" s="174">
        <v>40</v>
      </c>
      <c r="AE73" s="174"/>
      <c r="AF73" s="21"/>
      <c r="AG73" s="19"/>
      <c r="AH73" s="169"/>
      <c r="AI73" s="19"/>
      <c r="AJ73" s="21"/>
      <c r="AK73" s="22">
        <f t="shared" si="18"/>
        <v>0</v>
      </c>
      <c r="AL73" s="30"/>
      <c r="AM73" s="20"/>
      <c r="AN73" s="20"/>
      <c r="AO73" s="20"/>
      <c r="AP73" s="20"/>
      <c r="AQ73" s="20"/>
      <c r="AR73" s="20"/>
      <c r="AS73" s="20"/>
      <c r="AT73" s="21">
        <f t="shared" ref="AT73" si="20">AA73*AD73%</f>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f t="shared" si="19"/>
        <v>0</v>
      </c>
      <c r="AB74" s="131" t="s">
        <v>652</v>
      </c>
      <c r="AC74" s="170">
        <v>70</v>
      </c>
      <c r="AD74" s="174"/>
      <c r="AE74" s="174"/>
      <c r="AF74" s="21"/>
      <c r="AG74" s="19">
        <f t="shared" ref="AG74" si="21">-AH74/$D$2%</f>
        <v>0</v>
      </c>
      <c r="AH74" s="153"/>
      <c r="AI74" s="19"/>
      <c r="AJ74" s="21"/>
      <c r="AK74" s="22">
        <f t="shared" si="18"/>
        <v>0</v>
      </c>
      <c r="AL74" s="30"/>
      <c r="AM74" s="20"/>
      <c r="AN74" s="20"/>
      <c r="AO74" s="20"/>
      <c r="AP74" s="20"/>
      <c r="AQ74" s="20"/>
      <c r="AR74" s="20"/>
      <c r="AS74" s="20"/>
      <c r="AT74" s="21">
        <f>AH74*AC74%</f>
        <v>0</v>
      </c>
    </row>
    <row r="75" spans="1:46" ht="15" customHeight="1" x14ac:dyDescent="0.2">
      <c r="A75" s="19"/>
      <c r="B75" s="20"/>
      <c r="C75" s="20"/>
      <c r="D75" s="20"/>
      <c r="E75" s="20"/>
      <c r="F75" s="153">
        <v>205.84</v>
      </c>
      <c r="G75" s="2"/>
      <c r="H75" s="2"/>
      <c r="I75" s="2"/>
      <c r="J75" s="2"/>
      <c r="K75" s="2"/>
      <c r="L75" s="2"/>
      <c r="M75" s="2"/>
      <c r="N75" s="2"/>
      <c r="O75" s="2"/>
      <c r="P75" s="2"/>
      <c r="Q75" s="2"/>
      <c r="R75" s="2"/>
      <c r="S75" s="153"/>
      <c r="T75" s="24"/>
      <c r="U75" s="20"/>
      <c r="V75" s="20"/>
      <c r="W75" s="20"/>
      <c r="X75" s="20"/>
      <c r="Y75" s="20"/>
      <c r="Z75" s="20"/>
      <c r="AA75" s="29">
        <f t="shared" si="0"/>
        <v>205.84</v>
      </c>
      <c r="AB75" s="131" t="s">
        <v>208</v>
      </c>
      <c r="AC75" s="33"/>
      <c r="AD75" s="24">
        <v>36.5</v>
      </c>
      <c r="AE75" s="24"/>
      <c r="AF75" s="21"/>
      <c r="AG75" s="19"/>
      <c r="AH75" s="21"/>
      <c r="AI75" s="19"/>
      <c r="AJ75" s="21"/>
      <c r="AK75" s="22">
        <f t="shared" si="18"/>
        <v>75.131600000000006</v>
      </c>
      <c r="AL75" s="30"/>
      <c r="AM75" s="20"/>
      <c r="AN75" s="20"/>
      <c r="AO75" s="20"/>
      <c r="AP75" s="20"/>
      <c r="AQ75" s="20"/>
      <c r="AR75" s="20"/>
      <c r="AS75" s="20">
        <f>AA75*AD75%</f>
        <v>75.131600000000006</v>
      </c>
      <c r="AT75" s="21"/>
    </row>
    <row r="76" spans="1:46" ht="15" customHeight="1" x14ac:dyDescent="0.2">
      <c r="A76" s="19"/>
      <c r="B76" s="20"/>
      <c r="C76" s="20"/>
      <c r="D76" s="20"/>
      <c r="E76" s="24"/>
      <c r="F76" s="153">
        <f>AA76-S76</f>
        <v>0</v>
      </c>
      <c r="G76" s="2"/>
      <c r="H76" s="2"/>
      <c r="I76" s="2"/>
      <c r="J76" s="2"/>
      <c r="K76" s="2"/>
      <c r="L76" s="2"/>
      <c r="M76" s="2"/>
      <c r="N76" s="2"/>
      <c r="O76" s="2"/>
      <c r="P76" s="2"/>
      <c r="Q76" s="2"/>
      <c r="R76" s="2"/>
      <c r="S76" s="2">
        <f>AA76*7.4%</f>
        <v>0</v>
      </c>
      <c r="T76" s="24"/>
      <c r="U76" s="20"/>
      <c r="V76" s="20"/>
      <c r="W76" s="20"/>
      <c r="X76" s="20"/>
      <c r="Y76" s="20"/>
      <c r="Z76" s="20"/>
      <c r="AA76" s="25"/>
      <c r="AB76" s="676" t="s">
        <v>671</v>
      </c>
      <c r="AC76" s="170"/>
      <c r="AD76" s="174">
        <v>12</v>
      </c>
      <c r="AE76" s="24"/>
      <c r="AF76" s="21"/>
      <c r="AG76" s="19"/>
      <c r="AH76" s="21"/>
      <c r="AI76" s="19"/>
      <c r="AJ76" s="21"/>
      <c r="AK76" s="22">
        <f t="shared" si="18"/>
        <v>0</v>
      </c>
      <c r="AL76" s="30"/>
      <c r="AM76" s="20"/>
      <c r="AN76" s="20"/>
      <c r="AO76" s="20"/>
      <c r="AP76" s="20"/>
      <c r="AQ76" s="20"/>
      <c r="AR76" s="20"/>
      <c r="AS76" s="20"/>
      <c r="AT76" s="21">
        <f>AA76*AD76%</f>
        <v>0</v>
      </c>
    </row>
    <row r="77" spans="1:46" ht="15" customHeight="1" x14ac:dyDescent="0.2">
      <c r="A77" s="19"/>
      <c r="B77" s="20"/>
      <c r="C77" s="20"/>
      <c r="D77" s="20"/>
      <c r="E77" s="24"/>
      <c r="F77" s="153">
        <f>AA77-S77</f>
        <v>19.353399999999997</v>
      </c>
      <c r="G77" s="2"/>
      <c r="H77" s="172"/>
      <c r="I77" s="172"/>
      <c r="J77" s="2"/>
      <c r="K77" s="2"/>
      <c r="L77" s="2"/>
      <c r="M77" s="172"/>
      <c r="N77" s="172"/>
      <c r="O77" s="172"/>
      <c r="P77" s="2"/>
      <c r="Q77" s="2"/>
      <c r="R77" s="2"/>
      <c r="S77" s="2">
        <f>AA77*7.4%</f>
        <v>1.5466000000000002</v>
      </c>
      <c r="T77" s="24"/>
      <c r="U77" s="20"/>
      <c r="V77" s="20"/>
      <c r="W77" s="20"/>
      <c r="X77" s="20"/>
      <c r="Y77" s="20"/>
      <c r="Z77" s="20"/>
      <c r="AA77" s="25">
        <v>20.9</v>
      </c>
      <c r="AB77" s="676" t="s">
        <v>672</v>
      </c>
      <c r="AC77" s="170"/>
      <c r="AD77" s="174">
        <v>25</v>
      </c>
      <c r="AE77" s="24"/>
      <c r="AF77" s="21"/>
      <c r="AG77" s="19"/>
      <c r="AH77" s="21"/>
      <c r="AI77" s="19"/>
      <c r="AJ77" s="21"/>
      <c r="AK77" s="22">
        <f t="shared" si="18"/>
        <v>5.2249999999999996</v>
      </c>
      <c r="AL77" s="30"/>
      <c r="AM77" s="20"/>
      <c r="AN77" s="20"/>
      <c r="AO77" s="20"/>
      <c r="AP77" s="20"/>
      <c r="AQ77" s="20"/>
      <c r="AR77" s="20"/>
      <c r="AS77" s="20"/>
      <c r="AT77" s="21">
        <f>AA77*AD77%</f>
        <v>5.2249999999999996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f>SUM(A78:Z78)</f>
        <v>0</v>
      </c>
      <c r="AB78" s="676" t="s">
        <v>673</v>
      </c>
      <c r="AC78" s="687">
        <v>67</v>
      </c>
      <c r="AD78" s="174"/>
      <c r="AE78" s="40"/>
      <c r="AF78" s="41"/>
      <c r="AG78" s="19">
        <f t="shared" ref="AG78" si="22">-AH78/$D$2%</f>
        <v>0</v>
      </c>
      <c r="AH78" s="153">
        <v>0</v>
      </c>
      <c r="AI78" s="38"/>
      <c r="AJ78" s="41"/>
      <c r="AK78" s="22">
        <f t="shared" si="18"/>
        <v>0</v>
      </c>
      <c r="AL78" s="42"/>
      <c r="AM78" s="39"/>
      <c r="AN78" s="39"/>
      <c r="AO78" s="39"/>
      <c r="AP78" s="39"/>
      <c r="AQ78" s="39"/>
      <c r="AR78" s="39"/>
      <c r="AS78" s="39"/>
      <c r="AT78" s="21">
        <f>AC78*AH78%</f>
        <v>0</v>
      </c>
    </row>
    <row r="79" spans="1:46" ht="15" customHeight="1" x14ac:dyDescent="0.2">
      <c r="A79" s="38"/>
      <c r="B79" s="39"/>
      <c r="C79" s="39"/>
      <c r="D79" s="184"/>
      <c r="E79" s="184"/>
      <c r="F79" s="184"/>
      <c r="G79" s="153">
        <v>127.03</v>
      </c>
      <c r="H79" s="153">
        <v>0.35</v>
      </c>
      <c r="I79" s="184"/>
      <c r="J79" s="40"/>
      <c r="K79" s="40"/>
      <c r="L79" s="40"/>
      <c r="M79" s="184"/>
      <c r="N79" s="39"/>
      <c r="O79" s="39"/>
      <c r="P79" s="39"/>
      <c r="Q79" s="39"/>
      <c r="R79" s="39"/>
      <c r="S79" s="39"/>
      <c r="T79" s="39"/>
      <c r="U79" s="39"/>
      <c r="V79" s="39"/>
      <c r="W79" s="39"/>
      <c r="X79" s="39"/>
      <c r="Y79" s="39"/>
      <c r="Z79" s="39"/>
      <c r="AA79" s="21">
        <f>SUM(A79:Z79)</f>
        <v>127.38</v>
      </c>
      <c r="AB79" s="131" t="s">
        <v>9</v>
      </c>
      <c r="AC79" s="685"/>
      <c r="AD79" s="24">
        <v>13.5</v>
      </c>
      <c r="AE79" s="40"/>
      <c r="AF79" s="41"/>
      <c r="AG79" s="38"/>
      <c r="AH79" s="41"/>
      <c r="AI79" s="38"/>
      <c r="AJ79" s="41"/>
      <c r="AK79" s="22">
        <f t="shared" si="18"/>
        <v>17.196300000000001</v>
      </c>
      <c r="AL79" s="42"/>
      <c r="AM79" s="39"/>
      <c r="AN79" s="39"/>
      <c r="AO79" s="39"/>
      <c r="AP79" s="39"/>
      <c r="AQ79" s="39"/>
      <c r="AR79" s="39"/>
      <c r="AS79" s="39"/>
      <c r="AT79" s="21">
        <f>AD79*AA79%</f>
        <v>17.196300000000001</v>
      </c>
    </row>
    <row r="80" spans="1:46" ht="15" customHeight="1" thickBot="1" x14ac:dyDescent="0.25">
      <c r="A80" s="38"/>
      <c r="B80" s="39"/>
      <c r="C80" s="39"/>
      <c r="D80" s="153">
        <v>3.39</v>
      </c>
      <c r="E80" s="184"/>
      <c r="F80" s="153">
        <v>35.29</v>
      </c>
      <c r="G80" s="184"/>
      <c r="H80" s="184"/>
      <c r="I80" s="184"/>
      <c r="J80" s="40"/>
      <c r="K80" s="40"/>
      <c r="L80" s="40"/>
      <c r="M80" s="184"/>
      <c r="N80" s="39"/>
      <c r="O80" s="39"/>
      <c r="P80" s="39"/>
      <c r="Q80" s="39"/>
      <c r="R80" s="39"/>
      <c r="S80" s="39"/>
      <c r="T80" s="39"/>
      <c r="U80" s="39"/>
      <c r="V80" s="39"/>
      <c r="W80" s="39"/>
      <c r="X80" s="39"/>
      <c r="Y80" s="39"/>
      <c r="Z80" s="39"/>
      <c r="AA80" s="41">
        <f t="shared" si="0"/>
        <v>38.68</v>
      </c>
      <c r="AB80" s="132" t="s">
        <v>5</v>
      </c>
      <c r="AC80" s="686"/>
      <c r="AD80" s="24">
        <v>20</v>
      </c>
      <c r="AE80" s="672"/>
      <c r="AF80" s="45"/>
      <c r="AG80" s="43"/>
      <c r="AH80" s="45"/>
      <c r="AI80" s="43"/>
      <c r="AJ80" s="45"/>
      <c r="AK80" s="46">
        <f t="shared" si="11"/>
        <v>7.7360000000000007</v>
      </c>
      <c r="AL80" s="47"/>
      <c r="AM80" s="44"/>
      <c r="AN80" s="44"/>
      <c r="AO80" s="44"/>
      <c r="AP80" s="44"/>
      <c r="AQ80" s="44"/>
      <c r="AR80" s="44"/>
      <c r="AS80" s="44"/>
      <c r="AT80" s="21">
        <f>AA80*AD80%</f>
        <v>7.7360000000000007</v>
      </c>
    </row>
    <row r="81" spans="1:47" ht="15" customHeight="1" thickBot="1" x14ac:dyDescent="0.25">
      <c r="A81" s="48">
        <f t="shared" ref="A81:AA81" si="23">SUM(A8:A80)</f>
        <v>-23.359213482718847</v>
      </c>
      <c r="B81" s="49">
        <f t="shared" si="23"/>
        <v>20.79</v>
      </c>
      <c r="C81" s="49">
        <f t="shared" si="23"/>
        <v>0</v>
      </c>
      <c r="D81" s="49">
        <f t="shared" si="23"/>
        <v>3.8000000000000003</v>
      </c>
      <c r="E81" s="49">
        <f t="shared" si="23"/>
        <v>153.16000000000003</v>
      </c>
      <c r="F81" s="49">
        <f t="shared" si="23"/>
        <v>1066.7229131737663</v>
      </c>
      <c r="G81" s="49">
        <f t="shared" si="23"/>
        <v>127.03</v>
      </c>
      <c r="H81" s="49">
        <f t="shared" si="23"/>
        <v>396.82818050632466</v>
      </c>
      <c r="I81" s="49">
        <f t="shared" si="23"/>
        <v>-186.76727453361036</v>
      </c>
      <c r="J81" s="49">
        <f t="shared" si="23"/>
        <v>0</v>
      </c>
      <c r="K81" s="49">
        <f t="shared" si="23"/>
        <v>0</v>
      </c>
      <c r="L81" s="49">
        <f t="shared" si="23"/>
        <v>0</v>
      </c>
      <c r="M81" s="49">
        <f t="shared" si="23"/>
        <v>945.45</v>
      </c>
      <c r="N81" s="49">
        <f t="shared" si="23"/>
        <v>0</v>
      </c>
      <c r="O81" s="49">
        <f t="shared" si="23"/>
        <v>101.26</v>
      </c>
      <c r="P81" s="49">
        <f t="shared" si="23"/>
        <v>0</v>
      </c>
      <c r="Q81" s="49">
        <f t="shared" si="23"/>
        <v>14.879999999999999</v>
      </c>
      <c r="R81" s="49">
        <f t="shared" si="23"/>
        <v>556.30979999999988</v>
      </c>
      <c r="S81" s="49">
        <f t="shared" si="23"/>
        <v>269.24677532756215</v>
      </c>
      <c r="T81" s="49">
        <f t="shared" si="23"/>
        <v>200.37960000000004</v>
      </c>
      <c r="U81" s="49">
        <f t="shared" si="23"/>
        <v>510.01</v>
      </c>
      <c r="V81" s="49">
        <f t="shared" si="23"/>
        <v>1107.5899999999999</v>
      </c>
      <c r="W81" s="49">
        <f t="shared" si="23"/>
        <v>828.61760000000004</v>
      </c>
      <c r="X81" s="49">
        <f t="shared" si="23"/>
        <v>0</v>
      </c>
      <c r="Y81" s="49">
        <f t="shared" si="23"/>
        <v>0</v>
      </c>
      <c r="Z81" s="49">
        <f t="shared" si="23"/>
        <v>0</v>
      </c>
      <c r="AA81" s="50">
        <f t="shared" si="23"/>
        <v>6091.9483809913236</v>
      </c>
      <c r="AB81" s="51" t="s">
        <v>1</v>
      </c>
      <c r="AC81" s="52"/>
      <c r="AD81" s="52"/>
      <c r="AE81" s="52"/>
      <c r="AF81" s="52"/>
      <c r="AG81" s="48">
        <f t="shared" ref="AG81:AT81" si="24">SUM(AG8:AG80)</f>
        <v>2.1782575743145571E-13</v>
      </c>
      <c r="AH81" s="50">
        <f t="shared" si="24"/>
        <v>1059.4285412837644</v>
      </c>
      <c r="AI81" s="48">
        <f t="shared" si="24"/>
        <v>0</v>
      </c>
      <c r="AJ81" s="50">
        <f t="shared" si="24"/>
        <v>638.12599742399993</v>
      </c>
      <c r="AK81" s="51">
        <f t="shared" si="24"/>
        <v>3823.8528262104355</v>
      </c>
      <c r="AL81" s="53">
        <f t="shared" si="24"/>
        <v>1728.8758123281762</v>
      </c>
      <c r="AM81" s="49">
        <f t="shared" si="24"/>
        <v>154.21634774755199</v>
      </c>
      <c r="AN81" s="49">
        <f t="shared" si="24"/>
        <v>140.16263165996801</v>
      </c>
      <c r="AO81" s="49">
        <f t="shared" si="24"/>
        <v>132.15881981968002</v>
      </c>
      <c r="AP81" s="49">
        <f t="shared" si="24"/>
        <v>5.78</v>
      </c>
      <c r="AQ81" s="49">
        <f t="shared" si="24"/>
        <v>1078.5756559072643</v>
      </c>
      <c r="AR81" s="49">
        <f t="shared" si="24"/>
        <v>15.461889961360001</v>
      </c>
      <c r="AS81" s="49">
        <f t="shared" si="24"/>
        <v>198.6816</v>
      </c>
      <c r="AT81" s="50">
        <f t="shared" si="24"/>
        <v>369.94006878643609</v>
      </c>
    </row>
    <row r="82" spans="1:47" ht="15" customHeight="1" x14ac:dyDescent="0.25">
      <c r="A82" s="26">
        <f t="shared" ref="A82:Y82" si="25">A81*A89/1000</f>
        <v>-1.8042995758085667</v>
      </c>
      <c r="B82" s="28">
        <f t="shared" si="25"/>
        <v>1.3471919999999997</v>
      </c>
      <c r="C82" s="28">
        <f t="shared" si="25"/>
        <v>0</v>
      </c>
      <c r="D82" s="28">
        <f t="shared" si="25"/>
        <v>0.30031400000000003</v>
      </c>
      <c r="E82" s="28">
        <f t="shared" si="25"/>
        <v>11.349156000000001</v>
      </c>
      <c r="F82" s="28">
        <f t="shared" si="25"/>
        <v>79.044167866176082</v>
      </c>
      <c r="G82" s="28">
        <f t="shared" si="25"/>
        <v>9.1461600000000001</v>
      </c>
      <c r="H82" s="28">
        <f t="shared" si="25"/>
        <v>28.968457176961699</v>
      </c>
      <c r="I82" s="28">
        <f t="shared" si="25"/>
        <v>-10.369319082106047</v>
      </c>
      <c r="J82" s="27"/>
      <c r="K82" s="27"/>
      <c r="L82" s="27"/>
      <c r="M82" s="28">
        <f t="shared" si="25"/>
        <v>0</v>
      </c>
      <c r="N82" s="28">
        <f t="shared" si="25"/>
        <v>0</v>
      </c>
      <c r="O82" s="28">
        <f t="shared" si="25"/>
        <v>0</v>
      </c>
      <c r="P82" s="28">
        <f t="shared" si="25"/>
        <v>0</v>
      </c>
      <c r="Q82" s="28">
        <v>0</v>
      </c>
      <c r="R82" s="28">
        <f t="shared" si="25"/>
        <v>0</v>
      </c>
      <c r="S82" s="28">
        <f t="shared" si="25"/>
        <v>0</v>
      </c>
      <c r="T82" s="28">
        <f t="shared" si="25"/>
        <v>0</v>
      </c>
      <c r="U82" s="28">
        <f t="shared" si="25"/>
        <v>0</v>
      </c>
      <c r="V82" s="28">
        <f t="shared" si="25"/>
        <v>0</v>
      </c>
      <c r="W82" s="28">
        <f t="shared" si="25"/>
        <v>0</v>
      </c>
      <c r="X82" s="28">
        <f t="shared" si="25"/>
        <v>0</v>
      </c>
      <c r="Y82" s="28">
        <f t="shared" si="25"/>
        <v>0</v>
      </c>
      <c r="Z82" s="28">
        <f>Z81*Z89/1000</f>
        <v>0</v>
      </c>
      <c r="AA82" s="29">
        <f>SUM(A82:Z82)</f>
        <v>117.98182838522317</v>
      </c>
      <c r="AB82" s="54" t="s">
        <v>30</v>
      </c>
      <c r="AC82" s="55">
        <f>AA82*1000/D1</f>
        <v>2.5731571478315232</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440.82</v>
      </c>
      <c r="S83" s="153">
        <v>765.55</v>
      </c>
      <c r="T83" s="153">
        <v>474.96</v>
      </c>
      <c r="U83" s="153">
        <v>364.37</v>
      </c>
      <c r="V83" s="20"/>
      <c r="W83" s="20"/>
      <c r="X83" s="20"/>
      <c r="Y83" s="20"/>
      <c r="Z83" s="20"/>
      <c r="AA83" s="21">
        <f>SUM(A83:Z83)</f>
        <v>2045.6999999999998</v>
      </c>
      <c r="AB83" s="22" t="s">
        <v>653</v>
      </c>
      <c r="AC83" s="677">
        <f>(SUM(M11:Y11)+AG12*A87%+SUM(M16:Y16)+SUM(M17:Y17)+SUM(M18:Y18)+SUM(M19:Y19)+SUM(M22:Y22)+SUM(M61:Y61)+SUM(M62:Y62)+SUM(M63:Y63)+SUM(M65:Y65)+SUM(M66:Y66)+SUM(M67:Y67)+SUM(M68:Y68)+SUM(M69:Y69)+SUM(M71:Y71)+SUM(M72:Y72)+SUM(M73:Y73)+SUM(M75:Y75)+SUM(M76:Y76)+SUM(M77:Y77)+SUM(M79:Y79)+SUM(M80:Y80)+SUM(M23:Y23)*(AC23%+AE23%)+SUM(M24:Y24)*(AC24%+AE24%)+SUM(M25:Y25)*(AC25%+AE25%)+SUM(M26:Y26)*(AC26%+AE26%)+SUM(M28:Y28)*(AC28%+AD28%+AE28%)+SUM(M27:Y27)*(AD27%)+SUM(M29:Y29)*(AC29%+AE29%)+SUM(M30:Y30)*(AC30%+AE30%)+SUM(M31:Y31)*(AC31%+AE31%)+SUM(M34:Y34)*(AC34%+AE34%)+SUM(M35:Y35)*(AC35%+AE35%)+SUM(M37:Y37)*(AC37%+AE37%)+SUM(M38:Y38)*(AC38%+AE38%)+SUM(M39:Y39)*(AC39%+AE39%)+SUM(M41:Y41)*(AC41%+AE41%)+SUM(M42:Y42)*(AC42%+AE42%)+SUM(M44:Y44)*(AC44%+AE44%)+SUM(M45:Y45)*(AC45%+AE45%)+SUM(M46:Y46)*(AC47%+AE47%)+SUM(M48:Y48)*(AC48%+AE48%)+SUM(M49:Y49)*(AC49%+AE49%)+SUM(M50:Y50)*(AC50%+AE50%)+SUM(M52:Y52)*(AC52%+AE52%)+SUM(M53:Y53)*(AC53%+AE53%)+SUM(M54:Y54)*(AC54%+AE54%))/(SUM(AA8:AA11)+SUM(AA13:AA22)+SUM(AA61:AA80)+(AJ33/AF33%+AJ36/AF36%+AJ43/AF43%+AJ51/AF51%+AJ60/AF60%)+AH81+SUM(AH8:AH11)*(1-D2%)+(-AI56))*100</f>
        <v>73.461147002603568</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tr">
        <f>IF(M83&gt;0,M81/M83*100,"")</f>
        <v/>
      </c>
      <c r="N84" s="44" t="str">
        <f t="shared" ref="N84:Z84" si="26">IF(N83&gt;0,N81/N83*100,"")</f>
        <v/>
      </c>
      <c r="O84" s="44" t="str">
        <f t="shared" si="26"/>
        <v/>
      </c>
      <c r="P84" s="44" t="str">
        <f t="shared" si="26"/>
        <v/>
      </c>
      <c r="Q84" s="44" t="str">
        <f t="shared" si="26"/>
        <v/>
      </c>
      <c r="R84" s="44">
        <f t="shared" si="26"/>
        <v>126.19885667619435</v>
      </c>
      <c r="S84" s="44">
        <f t="shared" si="26"/>
        <v>35.170371017903754</v>
      </c>
      <c r="T84" s="44">
        <f t="shared" si="26"/>
        <v>42.188731682668021</v>
      </c>
      <c r="U84" s="44">
        <f t="shared" si="26"/>
        <v>139.9703597991053</v>
      </c>
      <c r="V84" s="44" t="str">
        <f t="shared" si="26"/>
        <v/>
      </c>
      <c r="W84" s="44" t="str">
        <f t="shared" si="26"/>
        <v/>
      </c>
      <c r="X84" s="44" t="str">
        <f t="shared" si="26"/>
        <v/>
      </c>
      <c r="Y84" s="44" t="str">
        <f>IF(Y83&gt;0,Y81/Y83*100,"")</f>
        <v/>
      </c>
      <c r="Z84" s="44" t="str">
        <f t="shared" si="26"/>
        <v/>
      </c>
      <c r="AA84" s="45">
        <f>SUMIF(M83:Z83,"&gt;0",M81:Z81)/SUM(M83:Z83)%</f>
        <v>75.08169210185082</v>
      </c>
      <c r="AB84" s="46" t="s">
        <v>12</v>
      </c>
      <c r="AC84" s="151">
        <f>SUM(M81:Y81)/AA81*100</f>
        <v>74.421900708715469</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tr">
        <f t="shared" ref="B86:I86" si="27">B7</f>
        <v xml:space="preserve">  LPG og petroleum</v>
      </c>
      <c r="C86" s="754" t="str">
        <f t="shared" si="27"/>
        <v xml:space="preserve">  Kul</v>
      </c>
      <c r="D86" s="754" t="str">
        <f t="shared" si="27"/>
        <v xml:space="preserve">  Fuelolie</v>
      </c>
      <c r="E86" s="754" t="str">
        <f t="shared" si="27"/>
        <v xml:space="preserve">  Brændselsolie</v>
      </c>
      <c r="F86" s="754" t="str">
        <f t="shared" si="27"/>
        <v xml:space="preserve">  Dieselolie</v>
      </c>
      <c r="G86" s="754" t="str">
        <f t="shared" si="27"/>
        <v xml:space="preserve">  JP1</v>
      </c>
      <c r="H86" s="754" t="str">
        <f t="shared" si="27"/>
        <v xml:space="preserve">  Benzin</v>
      </c>
      <c r="I86" s="754" t="str">
        <f t="shared" si="27"/>
        <v xml:space="preserve">  Naturgas</v>
      </c>
      <c r="J86" s="673"/>
      <c r="K86" s="673"/>
      <c r="L86" s="673"/>
      <c r="M86" s="754" t="str">
        <f t="shared" ref="M86:Z86" si="28">M7</f>
        <v xml:space="preserve">  Vindenergi</v>
      </c>
      <c r="N86" s="754" t="str">
        <f t="shared" si="28"/>
        <v xml:space="preserve">  Vandenergi</v>
      </c>
      <c r="O86" s="754" t="str">
        <f t="shared" si="28"/>
        <v xml:space="preserve">  Solenergi</v>
      </c>
      <c r="P86" s="754" t="str">
        <f t="shared" si="28"/>
        <v xml:space="preserve">  Geotermi</v>
      </c>
      <c r="Q86" s="754" t="str">
        <f t="shared" si="28"/>
        <v xml:space="preserve">  Varmekilder til varmepumper</v>
      </c>
      <c r="R86" s="754" t="str">
        <f t="shared" si="28"/>
        <v xml:space="preserve">  Husdyrsgødning</v>
      </c>
      <c r="S86" s="754" t="str">
        <f t="shared" si="28"/>
        <v xml:space="preserve">  Biobrændstof og energiafgrøder</v>
      </c>
      <c r="T86" s="754" t="str">
        <f t="shared" si="28"/>
        <v xml:space="preserve">  Halm</v>
      </c>
      <c r="U86" s="754" t="str">
        <f t="shared" si="28"/>
        <v xml:space="preserve">  Brænde og træflis</v>
      </c>
      <c r="V86" s="754" t="str">
        <f t="shared" si="28"/>
        <v xml:space="preserve">  Træpiller og træaffald</v>
      </c>
      <c r="W86" s="754" t="str">
        <f t="shared" si="28"/>
        <v xml:space="preserve">  Organisk affald, industri</v>
      </c>
      <c r="X86" s="754" t="str">
        <f t="shared" si="28"/>
        <v xml:space="preserve">  Organisk affald, husholdninger</v>
      </c>
      <c r="Y86" s="754" t="str">
        <f t="shared" si="28"/>
        <v xml:space="preserve">  Deponi, slam, renseanlæg</v>
      </c>
      <c r="Z86" s="757" t="str">
        <f t="shared" si="28"/>
        <v xml:space="preserve">  Affald, ikke bionedbrydeligt</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58.87</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91"/>
      <c r="R89" s="59"/>
      <c r="S89" s="59"/>
      <c r="T89" s="59"/>
      <c r="U89" s="59"/>
      <c r="V89" s="59"/>
      <c r="W89" s="59"/>
      <c r="X89" s="59"/>
      <c r="Y89" s="691"/>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31E77-CE4D-4A50-982D-B28433CE1402}">
  <sheetPr codeName="Ark4">
    <tabColor theme="3" tint="0.59999389629810485"/>
    <pageSetUpPr fitToPage="1"/>
  </sheetPr>
  <dimension ref="A1:AY95"/>
  <sheetViews>
    <sheetView showGridLines="0" showZeros="0" zoomScale="70" zoomScaleNormal="70" workbookViewId="0">
      <selection activeCell="G4" sqref="G4"/>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46599</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91.85</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4" t="s">
        <v>663</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19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f t="shared" ref="AA8:AA80" si="0">SUM(A8:Z8)</f>
        <v>0</v>
      </c>
      <c r="AB8" s="128" t="s">
        <v>183</v>
      </c>
      <c r="AC8" s="19"/>
      <c r="AD8" s="24">
        <v>85.225032606017024</v>
      </c>
      <c r="AE8" s="20"/>
      <c r="AF8" s="21"/>
      <c r="AG8" s="19">
        <f t="shared" ref="AG8:AG11" si="1">-AH8/$D$2%</f>
        <v>-1014.8429424811845</v>
      </c>
      <c r="AH8" s="25">
        <f>AK8/AD8%</f>
        <v>932.13324266896802</v>
      </c>
      <c r="AI8" s="33"/>
      <c r="AJ8" s="25"/>
      <c r="AK8" s="158">
        <f t="shared" ref="AK8:AK11" si="2">SUM(AL8:AT8)</f>
        <v>794.41085999615177</v>
      </c>
      <c r="AL8" s="153">
        <v>222.33782401865568</v>
      </c>
      <c r="AM8" s="153">
        <v>109.14435130229458</v>
      </c>
      <c r="AN8" s="153">
        <v>53.807655515841233</v>
      </c>
      <c r="AO8" s="153">
        <v>80.314830093334692</v>
      </c>
      <c r="AP8" s="153">
        <v>6.6050750371824076</v>
      </c>
      <c r="AQ8" s="153">
        <v>195.1313527368784</v>
      </c>
      <c r="AR8" s="153">
        <v>4.8515663296619609</v>
      </c>
      <c r="AS8" s="153">
        <v>121.01820496230268</v>
      </c>
      <c r="AT8" s="8">
        <v>1.2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f t="shared" si="0"/>
        <v>0</v>
      </c>
      <c r="AB9" s="128" t="s">
        <v>2</v>
      </c>
      <c r="AC9" s="19"/>
      <c r="AD9" s="20"/>
      <c r="AE9" s="20">
        <v>90</v>
      </c>
      <c r="AF9" s="21"/>
      <c r="AG9" s="19">
        <f t="shared" si="1"/>
        <v>-6.6533599467731204</v>
      </c>
      <c r="AH9" s="25">
        <f>AK9/AE9%</f>
        <v>6.1111111111111107</v>
      </c>
      <c r="AI9" s="33"/>
      <c r="AJ9" s="25"/>
      <c r="AK9" s="158">
        <f t="shared" si="2"/>
        <v>5.5</v>
      </c>
      <c r="AL9" s="157">
        <v>5.5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f t="shared" si="0"/>
        <v>0</v>
      </c>
      <c r="AB10" s="128" t="s">
        <v>3</v>
      </c>
      <c r="AC10" s="19"/>
      <c r="AD10" s="20"/>
      <c r="AE10" s="20">
        <v>100</v>
      </c>
      <c r="AF10" s="21"/>
      <c r="AG10" s="19">
        <f t="shared" si="1"/>
        <v>-28.198149156232986</v>
      </c>
      <c r="AH10" s="25">
        <f>AK10/AE10%</f>
        <v>25.9</v>
      </c>
      <c r="AI10" s="33"/>
      <c r="AJ10" s="25"/>
      <c r="AK10" s="158">
        <f t="shared" si="2"/>
        <v>25.9</v>
      </c>
      <c r="AL10" s="157">
        <v>25.9</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f>AK11-AH11</f>
        <v>10.199999999999999</v>
      </c>
      <c r="R11" s="20"/>
      <c r="S11" s="20"/>
      <c r="T11" s="20"/>
      <c r="U11" s="20"/>
      <c r="V11" s="20"/>
      <c r="W11" s="20"/>
      <c r="X11" s="20"/>
      <c r="Y11" s="20"/>
      <c r="Z11" s="20"/>
      <c r="AA11" s="21">
        <f t="shared" si="0"/>
        <v>10.199999999999999</v>
      </c>
      <c r="AB11" s="128" t="s">
        <v>23</v>
      </c>
      <c r="AC11" s="19"/>
      <c r="AD11" s="20"/>
      <c r="AE11" s="20">
        <v>300</v>
      </c>
      <c r="AF11" s="21"/>
      <c r="AG11" s="19">
        <f t="shared" si="1"/>
        <v>-5.5525313010342954</v>
      </c>
      <c r="AH11" s="156">
        <f>AK11/AE11%</f>
        <v>5.1000000000000005</v>
      </c>
      <c r="AI11" s="33"/>
      <c r="AJ11" s="25"/>
      <c r="AK11" s="158">
        <f t="shared" si="2"/>
        <v>15.3</v>
      </c>
      <c r="AL11" s="699">
        <v>15.3</v>
      </c>
      <c r="AM11" s="24"/>
      <c r="AN11" s="24"/>
      <c r="AO11" s="24"/>
      <c r="AP11" s="24"/>
      <c r="AQ11" s="24"/>
      <c r="AR11" s="24"/>
      <c r="AS11" s="24"/>
      <c r="AT11" s="25"/>
    </row>
    <row r="12" spans="1:51" ht="15" customHeight="1" x14ac:dyDescent="0.2">
      <c r="A12" s="155">
        <f>AC12%*AG12</f>
        <v>-131.98567831968447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f t="shared" si="0"/>
        <v>-131.98567831968447</v>
      </c>
      <c r="AB12" s="128" t="s">
        <v>10</v>
      </c>
      <c r="AC12" s="19">
        <v>100</v>
      </c>
      <c r="AD12" s="20"/>
      <c r="AE12" s="20"/>
      <c r="AF12" s="21"/>
      <c r="AG12" s="19">
        <f>-SUM(AG13:AG80,AG8:AG11)</f>
        <v>-131.98567831968447</v>
      </c>
      <c r="AH12" s="169"/>
      <c r="AI12" s="170"/>
      <c r="AJ12" s="169"/>
      <c r="AK12" s="171">
        <f t="shared" ref="AK12:AK43" si="3">SUM(AL12:AT12)</f>
        <v>0</v>
      </c>
      <c r="AL12" s="170"/>
      <c r="AM12" s="174"/>
      <c r="AN12" s="174"/>
      <c r="AO12" s="174"/>
      <c r="AP12" s="174"/>
      <c r="AQ12" s="174"/>
      <c r="AR12" s="174"/>
      <c r="AS12" s="174"/>
      <c r="AT12" s="169"/>
    </row>
    <row r="13" spans="1:51" ht="15" customHeight="1" x14ac:dyDescent="0.2">
      <c r="A13" s="176"/>
      <c r="B13" s="153">
        <v>20.399999999999999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f t="shared" si="0"/>
        <v>20.399999999999999</v>
      </c>
      <c r="AB13" s="178" t="s">
        <v>29</v>
      </c>
      <c r="AC13" s="26"/>
      <c r="AD13" s="28"/>
      <c r="AE13" s="177">
        <v>38</v>
      </c>
      <c r="AF13" s="29"/>
      <c r="AG13" s="26"/>
      <c r="AH13" s="29"/>
      <c r="AI13" s="26"/>
      <c r="AJ13" s="29"/>
      <c r="AK13" s="22">
        <f t="shared" si="3"/>
        <v>7.7519999999999989</v>
      </c>
      <c r="AL13" s="188">
        <f>AA13*AE13%*20%</f>
        <v>1.5504</v>
      </c>
      <c r="AM13" s="179"/>
      <c r="AN13" s="179"/>
      <c r="AO13" s="179"/>
      <c r="AP13" s="179"/>
      <c r="AQ13" s="179">
        <f>AA13*AE13%*60%</f>
        <v>4.6511999999999993</v>
      </c>
      <c r="AR13" s="179"/>
      <c r="AS13" s="179"/>
      <c r="AT13" s="189">
        <f>AA13*AE13%*20%</f>
        <v>1.5504</v>
      </c>
    </row>
    <row r="14" spans="1:51" ht="15" customHeight="1" x14ac:dyDescent="0.2">
      <c r="A14" s="19"/>
      <c r="B14" s="174"/>
      <c r="C14" s="20"/>
      <c r="D14" s="20"/>
      <c r="E14" s="153">
        <v>144.80000000000001</v>
      </c>
      <c r="F14" s="174"/>
      <c r="G14" s="174"/>
      <c r="H14" s="174"/>
      <c r="I14" s="174"/>
      <c r="J14" s="24"/>
      <c r="K14" s="24"/>
      <c r="L14" s="24"/>
      <c r="M14" s="20"/>
      <c r="N14" s="20"/>
      <c r="O14" s="20"/>
      <c r="P14" s="20"/>
      <c r="Q14" s="174"/>
      <c r="R14" s="174"/>
      <c r="S14" s="174"/>
      <c r="T14" s="174"/>
      <c r="U14" s="174"/>
      <c r="V14" s="174"/>
      <c r="W14" s="174"/>
      <c r="X14" s="174"/>
      <c r="Y14" s="174"/>
      <c r="Z14" s="174"/>
      <c r="AA14" s="21">
        <f t="shared" si="0"/>
        <v>144.80000000000001</v>
      </c>
      <c r="AB14" s="128" t="s">
        <v>215</v>
      </c>
      <c r="AC14" s="19"/>
      <c r="AD14" s="20"/>
      <c r="AE14" s="174">
        <v>80</v>
      </c>
      <c r="AF14" s="21"/>
      <c r="AG14" s="19"/>
      <c r="AH14" s="21"/>
      <c r="AI14" s="19"/>
      <c r="AJ14" s="21"/>
      <c r="AK14" s="22">
        <f t="shared" si="3"/>
        <v>115.84000000000002</v>
      </c>
      <c r="AL14" s="30">
        <f t="shared" ref="AL14:AL19" si="4">AA14*AE14%</f>
        <v>115.84000000000002</v>
      </c>
      <c r="AM14" s="20"/>
      <c r="AN14" s="20"/>
      <c r="AO14" s="20"/>
      <c r="AP14" s="20"/>
      <c r="AQ14" s="20"/>
      <c r="AR14" s="20"/>
      <c r="AS14" s="20"/>
      <c r="AT14" s="21"/>
      <c r="AY14" s="23"/>
    </row>
    <row r="15" spans="1:51" ht="15" customHeight="1" x14ac:dyDescent="0.2">
      <c r="A15" s="19"/>
      <c r="B15" s="174"/>
      <c r="C15" s="20"/>
      <c r="D15" s="20"/>
      <c r="E15" s="174"/>
      <c r="F15" s="174"/>
      <c r="G15" s="174"/>
      <c r="H15" s="174"/>
      <c r="I15" s="153">
        <v>300.89999999999998</v>
      </c>
      <c r="J15" s="153"/>
      <c r="K15" s="153"/>
      <c r="L15" s="153"/>
      <c r="M15" s="20"/>
      <c r="N15" s="20"/>
      <c r="O15" s="20"/>
      <c r="P15" s="20"/>
      <c r="Q15" s="174"/>
      <c r="R15" s="174"/>
      <c r="S15" s="174"/>
      <c r="T15" s="174"/>
      <c r="U15" s="174"/>
      <c r="V15" s="174"/>
      <c r="W15" s="174"/>
      <c r="X15" s="174"/>
      <c r="Y15" s="174"/>
      <c r="Z15" s="174"/>
      <c r="AA15" s="21">
        <f t="shared" si="0"/>
        <v>300.89999999999998</v>
      </c>
      <c r="AB15" s="128" t="s">
        <v>216</v>
      </c>
      <c r="AC15" s="19"/>
      <c r="AD15" s="20"/>
      <c r="AE15" s="174">
        <v>85</v>
      </c>
      <c r="AF15" s="21"/>
      <c r="AG15" s="19"/>
      <c r="AH15" s="21"/>
      <c r="AI15" s="19"/>
      <c r="AJ15" s="21"/>
      <c r="AK15" s="22">
        <f t="shared" si="3"/>
        <v>255.76499999999999</v>
      </c>
      <c r="AL15" s="30">
        <f t="shared" si="4"/>
        <v>255.76499999999999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404.5</v>
      </c>
      <c r="W16" s="174"/>
      <c r="X16" s="174"/>
      <c r="Y16" s="174"/>
      <c r="Z16" s="174"/>
      <c r="AA16" s="21">
        <f t="shared" si="0"/>
        <v>404.5</v>
      </c>
      <c r="AB16" s="128" t="s">
        <v>217</v>
      </c>
      <c r="AC16" s="19"/>
      <c r="AD16" s="20"/>
      <c r="AE16" s="174">
        <v>75</v>
      </c>
      <c r="AF16" s="21"/>
      <c r="AG16" s="19"/>
      <c r="AH16" s="21"/>
      <c r="AI16" s="19"/>
      <c r="AJ16" s="21"/>
      <c r="AK16" s="22">
        <f t="shared" si="3"/>
        <v>303.375</v>
      </c>
      <c r="AL16" s="30">
        <f t="shared" si="4"/>
        <v>303.375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423.3</v>
      </c>
      <c r="V17" s="2"/>
      <c r="W17" s="174"/>
      <c r="X17" s="174"/>
      <c r="Y17" s="174"/>
      <c r="Z17" s="174"/>
      <c r="AA17" s="21">
        <f t="shared" si="0"/>
        <v>423.3</v>
      </c>
      <c r="AB17" s="128" t="s">
        <v>218</v>
      </c>
      <c r="AC17" s="19"/>
      <c r="AD17" s="20"/>
      <c r="AE17" s="174">
        <v>65</v>
      </c>
      <c r="AF17" s="21"/>
      <c r="AG17" s="19"/>
      <c r="AH17" s="21"/>
      <c r="AI17" s="19"/>
      <c r="AJ17" s="21"/>
      <c r="AK17" s="22">
        <f t="shared" si="3"/>
        <v>275.14500000000004</v>
      </c>
      <c r="AL17" s="30">
        <f t="shared" si="4"/>
        <v>275.14500000000004</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70.5</v>
      </c>
      <c r="U18" s="2"/>
      <c r="V18" s="2"/>
      <c r="W18" s="174"/>
      <c r="X18" s="174"/>
      <c r="Y18" s="174"/>
      <c r="Z18" s="174"/>
      <c r="AA18" s="21">
        <f t="shared" si="0"/>
        <v>70.5</v>
      </c>
      <c r="AB18" s="128" t="s">
        <v>219</v>
      </c>
      <c r="AC18" s="19"/>
      <c r="AD18" s="20"/>
      <c r="AE18" s="174">
        <v>65</v>
      </c>
      <c r="AF18" s="21"/>
      <c r="AG18" s="19"/>
      <c r="AH18" s="21"/>
      <c r="AI18" s="19"/>
      <c r="AJ18" s="21"/>
      <c r="AK18" s="22">
        <f t="shared" si="3"/>
        <v>45.825000000000003</v>
      </c>
      <c r="AL18" s="30">
        <f t="shared" si="4"/>
        <v>45.825000000000003</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7.7</v>
      </c>
      <c r="P19" s="20"/>
      <c r="Q19" s="174"/>
      <c r="R19" s="174"/>
      <c r="S19" s="174"/>
      <c r="T19" s="174"/>
      <c r="U19" s="174"/>
      <c r="V19" s="174"/>
      <c r="W19" s="174"/>
      <c r="X19" s="174"/>
      <c r="Y19" s="174"/>
      <c r="Z19" s="174"/>
      <c r="AA19" s="21">
        <f t="shared" si="0"/>
        <v>7.7</v>
      </c>
      <c r="AB19" s="128" t="s">
        <v>220</v>
      </c>
      <c r="AC19" s="19"/>
      <c r="AD19" s="20"/>
      <c r="AE19" s="20">
        <v>100</v>
      </c>
      <c r="AF19" s="21"/>
      <c r="AG19" s="19"/>
      <c r="AH19" s="21"/>
      <c r="AI19" s="19"/>
      <c r="AJ19" s="21"/>
      <c r="AK19" s="22">
        <f t="shared" si="3"/>
        <v>7.7</v>
      </c>
      <c r="AL19" s="30">
        <f t="shared" si="4"/>
        <v>7.7</v>
      </c>
      <c r="AM19" s="20"/>
      <c r="AN19" s="20"/>
      <c r="AO19" s="20"/>
      <c r="AP19" s="20"/>
      <c r="AQ19" s="20"/>
      <c r="AR19" s="20"/>
      <c r="AS19" s="20"/>
      <c r="AT19" s="21"/>
      <c r="AY19" s="23"/>
    </row>
    <row r="20" spans="1:51" ht="15" customHeight="1" x14ac:dyDescent="0.2">
      <c r="A20" s="19"/>
      <c r="B20" s="20"/>
      <c r="C20" s="174"/>
      <c r="D20" s="174"/>
      <c r="E20" s="153">
        <v>12.3</v>
      </c>
      <c r="F20" s="174"/>
      <c r="G20" s="174"/>
      <c r="H20" s="174"/>
      <c r="I20" s="2"/>
      <c r="J20" s="2"/>
      <c r="K20" s="2"/>
      <c r="L20" s="2"/>
      <c r="M20" s="174"/>
      <c r="N20" s="174"/>
      <c r="O20" s="174"/>
      <c r="P20" s="174"/>
      <c r="Q20" s="174"/>
      <c r="R20" s="174"/>
      <c r="S20" s="174"/>
      <c r="T20" s="174"/>
      <c r="U20" s="174"/>
      <c r="V20" s="174"/>
      <c r="W20" s="174"/>
      <c r="X20" s="174"/>
      <c r="Y20" s="174"/>
      <c r="Z20" s="174"/>
      <c r="AA20" s="21">
        <f t="shared" si="0"/>
        <v>12.3</v>
      </c>
      <c r="AB20" s="128" t="s">
        <v>24</v>
      </c>
      <c r="AC20" s="19"/>
      <c r="AD20" s="20">
        <v>90</v>
      </c>
      <c r="AE20" s="20"/>
      <c r="AF20" s="21"/>
      <c r="AG20" s="19"/>
      <c r="AH20" s="21"/>
      <c r="AI20" s="19"/>
      <c r="AJ20" s="21"/>
      <c r="AK20" s="22">
        <f t="shared" si="3"/>
        <v>11.07</v>
      </c>
      <c r="AL20" s="30"/>
      <c r="AM20" s="20"/>
      <c r="AN20" s="20"/>
      <c r="AO20" s="20"/>
      <c r="AP20" s="20"/>
      <c r="AQ20" s="20">
        <f>AA20*AD20%</f>
        <v>11.07</v>
      </c>
      <c r="AR20" s="20"/>
      <c r="AS20" s="20"/>
      <c r="AT20" s="21"/>
      <c r="AV20" s="23"/>
    </row>
    <row r="21" spans="1:51" ht="15" customHeight="1" x14ac:dyDescent="0.2">
      <c r="A21" s="19"/>
      <c r="B21" s="20"/>
      <c r="C21" s="174"/>
      <c r="D21" s="174"/>
      <c r="E21" s="174"/>
      <c r="F21" s="174"/>
      <c r="G21" s="174"/>
      <c r="H21" s="174"/>
      <c r="I21" s="153">
        <v>719.7</v>
      </c>
      <c r="J21" s="153"/>
      <c r="K21" s="153"/>
      <c r="L21" s="153"/>
      <c r="M21" s="174"/>
      <c r="N21" s="174"/>
      <c r="O21" s="174"/>
      <c r="P21" s="174"/>
      <c r="Q21" s="174"/>
      <c r="R21" s="174"/>
      <c r="S21" s="174"/>
      <c r="T21" s="174"/>
      <c r="U21" s="174"/>
      <c r="V21" s="174"/>
      <c r="W21" s="174"/>
      <c r="X21" s="174"/>
      <c r="Y21" s="174"/>
      <c r="Z21" s="174"/>
      <c r="AA21" s="21">
        <f t="shared" si="0"/>
        <v>719.7</v>
      </c>
      <c r="AB21" s="128" t="s">
        <v>25</v>
      </c>
      <c r="AC21" s="19"/>
      <c r="AD21" s="20">
        <v>90</v>
      </c>
      <c r="AE21" s="20"/>
      <c r="AF21" s="21"/>
      <c r="AG21" s="19"/>
      <c r="AH21" s="21"/>
      <c r="AI21" s="19"/>
      <c r="AJ21" s="21"/>
      <c r="AK21" s="22">
        <f t="shared" si="3"/>
        <v>647.73</v>
      </c>
      <c r="AL21" s="30"/>
      <c r="AM21" s="20"/>
      <c r="AN21" s="20"/>
      <c r="AO21" s="20"/>
      <c r="AP21" s="20"/>
      <c r="AQ21" s="20">
        <f>AA21*AD21%</f>
        <v>647.73</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21.7</v>
      </c>
      <c r="W22" s="153">
        <v>0</v>
      </c>
      <c r="X22" s="153">
        <v>0</v>
      </c>
      <c r="Y22" s="153">
        <v>0</v>
      </c>
      <c r="Z22" s="153">
        <v>0</v>
      </c>
      <c r="AA22" s="21">
        <f t="shared" si="0"/>
        <v>21.7</v>
      </c>
      <c r="AB22" s="128" t="s">
        <v>637</v>
      </c>
      <c r="AC22" s="19"/>
      <c r="AD22" s="20">
        <v>90</v>
      </c>
      <c r="AE22" s="20"/>
      <c r="AF22" s="21"/>
      <c r="AG22" s="19"/>
      <c r="AH22" s="21"/>
      <c r="AI22" s="19"/>
      <c r="AJ22" s="21"/>
      <c r="AK22" s="22">
        <f t="shared" si="3"/>
        <v>19.53</v>
      </c>
      <c r="AL22" s="175"/>
      <c r="AM22" s="174"/>
      <c r="AN22" s="174"/>
      <c r="AO22" s="174"/>
      <c r="AP22" s="174"/>
      <c r="AQ22" s="174">
        <f>AA22*AD22%</f>
        <v>19.53</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40</v>
      </c>
      <c r="P23" s="174"/>
      <c r="Q23" s="174"/>
      <c r="R23" s="174"/>
      <c r="S23" s="174"/>
      <c r="T23" s="174"/>
      <c r="U23" s="174"/>
      <c r="V23" s="174"/>
      <c r="W23" s="174"/>
      <c r="X23" s="174"/>
      <c r="Y23" s="174"/>
      <c r="Z23" s="174"/>
      <c r="AA23" s="21">
        <f t="shared" si="0"/>
        <v>40</v>
      </c>
      <c r="AB23" s="128" t="s">
        <v>14</v>
      </c>
      <c r="AC23" s="20">
        <v>100</v>
      </c>
      <c r="AD23" s="20"/>
      <c r="AE23" s="20"/>
      <c r="AF23" s="21"/>
      <c r="AG23" s="19">
        <f>AA23*AC23/100</f>
        <v>40</v>
      </c>
      <c r="AH23" s="21"/>
      <c r="AI23" s="19"/>
      <c r="AJ23" s="21"/>
      <c r="AK23" s="22">
        <f t="shared" si="3"/>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957</v>
      </c>
      <c r="N24" s="174"/>
      <c r="O24" s="174"/>
      <c r="P24" s="174"/>
      <c r="Q24" s="174"/>
      <c r="R24" s="174"/>
      <c r="S24" s="174"/>
      <c r="T24" s="174"/>
      <c r="U24" s="174"/>
      <c r="V24" s="174"/>
      <c r="W24" s="174"/>
      <c r="X24" s="174"/>
      <c r="Y24" s="174"/>
      <c r="Z24" s="174"/>
      <c r="AA24" s="21">
        <f t="shared" si="0"/>
        <v>957</v>
      </c>
      <c r="AB24" s="128" t="s">
        <v>26</v>
      </c>
      <c r="AC24" s="20">
        <v>100</v>
      </c>
      <c r="AD24" s="20"/>
      <c r="AE24" s="20"/>
      <c r="AF24" s="21"/>
      <c r="AG24" s="19">
        <f>AC24*AA24/100</f>
        <v>957</v>
      </c>
      <c r="AH24" s="21"/>
      <c r="AI24" s="19"/>
      <c r="AJ24" s="21"/>
      <c r="AK24" s="22">
        <f t="shared" si="3"/>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f t="shared" si="0"/>
        <v>0</v>
      </c>
      <c r="AB25" s="128" t="s">
        <v>75</v>
      </c>
      <c r="AC25" s="170">
        <v>100</v>
      </c>
      <c r="AD25" s="174"/>
      <c r="AE25" s="174"/>
      <c r="AF25" s="169"/>
      <c r="AG25" s="170">
        <f>AC25*AA25/100</f>
        <v>0</v>
      </c>
      <c r="AH25" s="169"/>
      <c r="AI25" s="19"/>
      <c r="AJ25" s="21"/>
      <c r="AK25" s="22">
        <f t="shared" si="3"/>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f t="shared" si="0"/>
        <v>0</v>
      </c>
      <c r="AB26" s="128" t="s">
        <v>638</v>
      </c>
      <c r="AC26" s="153">
        <v>100</v>
      </c>
      <c r="AD26" s="174"/>
      <c r="AE26" s="174"/>
      <c r="AF26" s="169"/>
      <c r="AG26" s="170">
        <f>AC26*AA26/100</f>
        <v>0</v>
      </c>
      <c r="AH26" s="169"/>
      <c r="AI26" s="19"/>
      <c r="AJ26" s="21"/>
      <c r="AK26" s="22">
        <f t="shared" si="3"/>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-329.9</v>
      </c>
      <c r="J27" s="153"/>
      <c r="K27" s="153"/>
      <c r="L27" s="153"/>
      <c r="M27" s="174"/>
      <c r="N27" s="174"/>
      <c r="O27" s="174"/>
      <c r="P27" s="174"/>
      <c r="Q27" s="174"/>
      <c r="R27" s="24">
        <f>-(I27*33.3%)/AD27%</f>
        <v>109.85669999999998</v>
      </c>
      <c r="S27" s="24">
        <f>-(I27*10.5%)/AD27%</f>
        <v>34.639499999999998</v>
      </c>
      <c r="T27" s="24">
        <f>-(I27*6.6%)/AD27%</f>
        <v>21.773399999999999</v>
      </c>
      <c r="U27" s="24"/>
      <c r="V27" s="24"/>
      <c r="W27" s="24">
        <f>-(I27*49.6%)/AD27%</f>
        <v>163.63039999999998</v>
      </c>
      <c r="X27" s="172"/>
      <c r="Y27" s="172"/>
      <c r="Z27" s="172"/>
      <c r="AA27" s="21">
        <f t="shared" si="0"/>
        <v>0</v>
      </c>
      <c r="AB27" s="129" t="s">
        <v>174</v>
      </c>
      <c r="AC27" s="180"/>
      <c r="AD27" s="172">
        <v>100</v>
      </c>
      <c r="AE27" s="172"/>
      <c r="AF27" s="173"/>
      <c r="AG27" s="181"/>
      <c r="AH27" s="173"/>
      <c r="AI27" s="6"/>
      <c r="AJ27" s="7"/>
      <c r="AK27" s="22">
        <f t="shared" si="3"/>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f>AA28*46%</f>
        <v>0</v>
      </c>
      <c r="S28" s="2"/>
      <c r="T28" s="2"/>
      <c r="U28" s="2"/>
      <c r="V28" s="2"/>
      <c r="W28" s="153">
        <f>AA28*54%</f>
        <v>0</v>
      </c>
      <c r="X28" s="172"/>
      <c r="Y28" s="172"/>
      <c r="Z28" s="172"/>
      <c r="AA28" s="25">
        <v>0</v>
      </c>
      <c r="AB28" s="129" t="s">
        <v>173</v>
      </c>
      <c r="AC28" s="153">
        <v>34.200000000000003</v>
      </c>
      <c r="AD28" s="2"/>
      <c r="AE28" s="172"/>
      <c r="AF28" s="173"/>
      <c r="AG28" s="170">
        <f>AA28*AC28/100</f>
        <v>0</v>
      </c>
      <c r="AH28" s="169"/>
      <c r="AI28" s="170">
        <f>AA28*AE28/100</f>
        <v>0</v>
      </c>
      <c r="AJ28" s="169"/>
      <c r="AK28" s="22">
        <f t="shared" si="3"/>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f t="shared" si="0"/>
        <v>0</v>
      </c>
      <c r="AB29" s="129" t="s">
        <v>184</v>
      </c>
      <c r="AC29" s="155">
        <v>0</v>
      </c>
      <c r="AD29" s="172"/>
      <c r="AE29" s="153">
        <v>0</v>
      </c>
      <c r="AF29" s="169"/>
      <c r="AG29" s="170">
        <f>AA29*AC29/100</f>
        <v>0</v>
      </c>
      <c r="AH29" s="169"/>
      <c r="AI29" s="19">
        <f>AA29*AE29/100</f>
        <v>0</v>
      </c>
      <c r="AJ29" s="21"/>
      <c r="AK29" s="22">
        <f t="shared" si="3"/>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f t="shared" si="0"/>
        <v>0</v>
      </c>
      <c r="AB30" s="129" t="s">
        <v>13</v>
      </c>
      <c r="AC30" s="181"/>
      <c r="AD30" s="172"/>
      <c r="AE30" s="153">
        <v>0</v>
      </c>
      <c r="AF30" s="169"/>
      <c r="AG30" s="170"/>
      <c r="AH30" s="169"/>
      <c r="AI30" s="19">
        <f>AA30*AE30/100</f>
        <v>0</v>
      </c>
      <c r="AJ30" s="21"/>
      <c r="AK30" s="22">
        <f t="shared" si="3"/>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f>AI31-AH31</f>
        <v>0</v>
      </c>
      <c r="R31" s="172"/>
      <c r="S31" s="172"/>
      <c r="T31" s="172"/>
      <c r="U31" s="172"/>
      <c r="V31" s="172"/>
      <c r="W31" s="172"/>
      <c r="X31" s="172"/>
      <c r="Y31" s="172"/>
      <c r="Z31" s="172"/>
      <c r="AA31" s="21">
        <f t="shared" si="0"/>
        <v>0</v>
      </c>
      <c r="AB31" s="129" t="s">
        <v>171</v>
      </c>
      <c r="AC31" s="170"/>
      <c r="AD31" s="174"/>
      <c r="AE31" s="24">
        <v>300</v>
      </c>
      <c r="AF31" s="169"/>
      <c r="AG31" s="181">
        <f>-AH31/$D$2%</f>
        <v>0</v>
      </c>
      <c r="AH31" s="700">
        <v>0</v>
      </c>
      <c r="AI31" s="182">
        <f>AH31*AE31%</f>
        <v>0</v>
      </c>
      <c r="AJ31" s="7"/>
      <c r="AK31" s="22">
        <f t="shared" si="3"/>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f t="shared" si="0"/>
        <v>0</v>
      </c>
      <c r="AB32" s="129" t="s">
        <v>172</v>
      </c>
      <c r="AC32" s="170"/>
      <c r="AD32" s="174"/>
      <c r="AE32" s="24">
        <v>100</v>
      </c>
      <c r="AF32" s="169"/>
      <c r="AG32" s="181">
        <f>-AH32/$D$2%</f>
        <v>0</v>
      </c>
      <c r="AH32" s="700">
        <v>0</v>
      </c>
      <c r="AI32" s="170">
        <f>AH32*AE32%</f>
        <v>0</v>
      </c>
      <c r="AJ32" s="7"/>
      <c r="AK32" s="22">
        <f t="shared" si="3"/>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f t="shared" si="0"/>
        <v>0</v>
      </c>
      <c r="AB33" s="129" t="s">
        <v>27</v>
      </c>
      <c r="AC33" s="181"/>
      <c r="AD33" s="172"/>
      <c r="AE33" s="172"/>
      <c r="AF33" s="156">
        <v>79.44</v>
      </c>
      <c r="AG33" s="170"/>
      <c r="AH33" s="169"/>
      <c r="AI33" s="19">
        <f>-SUM(AI29:AI32)</f>
        <v>0</v>
      </c>
      <c r="AJ33" s="21">
        <f>-AI33*AF33%</f>
        <v>0</v>
      </c>
      <c r="AK33" s="22">
        <f>SUM(AL33:AT33)</f>
        <v>0</v>
      </c>
      <c r="AL33" s="157">
        <f>AJ33*65.2%</f>
        <v>0</v>
      </c>
      <c r="AM33" s="157">
        <f>AJ33*9.9%</f>
        <v>0</v>
      </c>
      <c r="AN33" s="153">
        <f>AJ33*13.2%</f>
        <v>0</v>
      </c>
      <c r="AO33" s="153">
        <f>AJ33*7%</f>
        <v>0</v>
      </c>
      <c r="AP33" s="153">
        <f>AJ33*0%</f>
        <v>0</v>
      </c>
      <c r="AQ33" s="153">
        <f>AJ33*3.2%</f>
        <v>0</v>
      </c>
      <c r="AR33" s="153">
        <f>AJ33*1.5%</f>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f t="shared" si="0"/>
        <v>0</v>
      </c>
      <c r="AB34" s="129" t="s">
        <v>185</v>
      </c>
      <c r="AC34" s="155">
        <v>0</v>
      </c>
      <c r="AD34" s="172"/>
      <c r="AE34" s="153">
        <v>0</v>
      </c>
      <c r="AF34" s="173"/>
      <c r="AG34" s="170">
        <f>AA34*AC34/100</f>
        <v>0</v>
      </c>
      <c r="AH34" s="169"/>
      <c r="AI34" s="19">
        <f>AA34*AE34/100</f>
        <v>0</v>
      </c>
      <c r="AJ34" s="21"/>
      <c r="AK34" s="22">
        <f t="shared" si="3"/>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f t="shared" si="0"/>
        <v>0</v>
      </c>
      <c r="AB35" s="129" t="s">
        <v>7</v>
      </c>
      <c r="AC35" s="181"/>
      <c r="AD35" s="172"/>
      <c r="AE35" s="153">
        <v>0</v>
      </c>
      <c r="AF35" s="173"/>
      <c r="AG35" s="170">
        <f>AA35*AC35/100</f>
        <v>0</v>
      </c>
      <c r="AH35" s="169"/>
      <c r="AI35" s="19">
        <f>AA35*AE35/100</f>
        <v>0</v>
      </c>
      <c r="AJ35" s="21"/>
      <c r="AK35" s="22">
        <f t="shared" si="3"/>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f t="shared" si="0"/>
        <v>0</v>
      </c>
      <c r="AB36" s="130" t="s">
        <v>28</v>
      </c>
      <c r="AC36" s="181"/>
      <c r="AD36" s="172"/>
      <c r="AE36" s="172"/>
      <c r="AF36" s="156">
        <v>79.44</v>
      </c>
      <c r="AG36" s="170"/>
      <c r="AH36" s="169"/>
      <c r="AI36" s="19">
        <f>-SUM(AI34:AI35)</f>
        <v>0</v>
      </c>
      <c r="AJ36" s="21">
        <f>-AI36*AF36%</f>
        <v>0</v>
      </c>
      <c r="AK36" s="22">
        <f t="shared" si="3"/>
        <v>0</v>
      </c>
      <c r="AL36" s="157">
        <f>AJ36*65.2%</f>
        <v>0</v>
      </c>
      <c r="AM36" s="157">
        <f>AJ36*9.9%</f>
        <v>0</v>
      </c>
      <c r="AN36" s="153">
        <f>AJ36*13.2%</f>
        <v>0</v>
      </c>
      <c r="AO36" s="153">
        <f>AJ36*7%</f>
        <v>0</v>
      </c>
      <c r="AP36" s="153">
        <f>AJ36*0%</f>
        <v>0</v>
      </c>
      <c r="AQ36" s="153">
        <f>AJ36*3.2%</f>
        <v>0</v>
      </c>
      <c r="AR36" s="153">
        <f>AJ36*1.5%</f>
        <v>0</v>
      </c>
      <c r="AS36" s="153"/>
      <c r="AT36" s="21"/>
    </row>
    <row r="37" spans="1:47" ht="15" customHeight="1" x14ac:dyDescent="0.2">
      <c r="A37" s="20"/>
      <c r="B37" s="153">
        <v>0</v>
      </c>
      <c r="C37" s="153">
        <v>0</v>
      </c>
      <c r="D37" s="153">
        <v>0</v>
      </c>
      <c r="E37" s="153">
        <v>0</v>
      </c>
      <c r="F37" s="153">
        <v>0</v>
      </c>
      <c r="G37" s="153">
        <v>0</v>
      </c>
      <c r="H37" s="153">
        <v>0</v>
      </c>
      <c r="I37" s="153">
        <v>97</v>
      </c>
      <c r="J37" s="692"/>
      <c r="K37" s="153"/>
      <c r="L37" s="153"/>
      <c r="M37" s="153">
        <v>0</v>
      </c>
      <c r="N37" s="153">
        <v>0</v>
      </c>
      <c r="O37" s="153">
        <v>0</v>
      </c>
      <c r="P37" s="153">
        <v>0</v>
      </c>
      <c r="Q37" s="153">
        <v>0</v>
      </c>
      <c r="R37" s="153">
        <v>0</v>
      </c>
      <c r="S37" s="153">
        <v>0</v>
      </c>
      <c r="T37" s="153">
        <v>0</v>
      </c>
      <c r="U37" s="153">
        <v>0</v>
      </c>
      <c r="V37" s="153">
        <v>421.9</v>
      </c>
      <c r="W37" s="153">
        <v>0</v>
      </c>
      <c r="X37" s="153">
        <v>0</v>
      </c>
      <c r="Y37" s="153">
        <v>1.3</v>
      </c>
      <c r="Z37" s="153">
        <v>0</v>
      </c>
      <c r="AA37" s="21">
        <f t="shared" si="0"/>
        <v>520.19999999999993</v>
      </c>
      <c r="AB37" s="130" t="s">
        <v>186</v>
      </c>
      <c r="AC37" s="155">
        <v>28.907747020376778</v>
      </c>
      <c r="AD37" s="172"/>
      <c r="AE37" s="153">
        <v>51.870049980776621</v>
      </c>
      <c r="AF37" s="173"/>
      <c r="AG37" s="19">
        <f>AA37*AC37/100</f>
        <v>150.37809999999999</v>
      </c>
      <c r="AH37" s="21"/>
      <c r="AI37" s="19">
        <f t="shared" ref="AI37" si="5">AA37*AE37/100</f>
        <v>269.82799999999997</v>
      </c>
      <c r="AJ37" s="21"/>
      <c r="AK37" s="22">
        <f t="shared" si="3"/>
        <v>0</v>
      </c>
      <c r="AL37" s="175"/>
      <c r="AM37" s="174"/>
      <c r="AN37" s="174"/>
      <c r="AO37" s="174"/>
      <c r="AP37" s="174"/>
      <c r="AQ37" s="174"/>
      <c r="AR37" s="174"/>
      <c r="AS37" s="174"/>
      <c r="AT37" s="21"/>
    </row>
    <row r="38" spans="1:47" ht="15" customHeight="1" x14ac:dyDescent="0.2">
      <c r="A38" s="20"/>
      <c r="B38" s="153">
        <v>0</v>
      </c>
      <c r="C38" s="153">
        <v>0</v>
      </c>
      <c r="D38" s="153">
        <v>0</v>
      </c>
      <c r="E38" s="153">
        <v>0.9</v>
      </c>
      <c r="F38" s="153">
        <v>0</v>
      </c>
      <c r="G38" s="153">
        <v>0</v>
      </c>
      <c r="H38" s="153">
        <v>0</v>
      </c>
      <c r="I38" s="153">
        <v>111.9</v>
      </c>
      <c r="J38" s="31"/>
      <c r="K38" s="153"/>
      <c r="L38" s="153"/>
      <c r="M38" s="153">
        <v>0</v>
      </c>
      <c r="N38" s="153">
        <v>0</v>
      </c>
      <c r="O38" s="153">
        <v>0</v>
      </c>
      <c r="P38" s="153">
        <v>0</v>
      </c>
      <c r="Q38" s="153">
        <v>0</v>
      </c>
      <c r="R38" s="153">
        <v>0</v>
      </c>
      <c r="S38" s="153">
        <v>0.2</v>
      </c>
      <c r="T38" s="153">
        <v>26.9</v>
      </c>
      <c r="U38" s="153">
        <v>92.3</v>
      </c>
      <c r="V38" s="153">
        <v>367.79999999999995</v>
      </c>
      <c r="W38" s="153">
        <v>0</v>
      </c>
      <c r="X38" s="153">
        <v>0</v>
      </c>
      <c r="Y38" s="153">
        <v>0</v>
      </c>
      <c r="Z38" s="153">
        <v>0</v>
      </c>
      <c r="AA38" s="21">
        <f t="shared" si="0"/>
        <v>600</v>
      </c>
      <c r="AB38" s="130" t="s">
        <v>209</v>
      </c>
      <c r="AC38" s="181"/>
      <c r="AD38" s="172"/>
      <c r="AE38" s="153">
        <v>90.988</v>
      </c>
      <c r="AF38" s="173"/>
      <c r="AG38" s="19">
        <f>AA38*AC38/100</f>
        <v>0</v>
      </c>
      <c r="AH38" s="21"/>
      <c r="AI38" s="19">
        <f>AA38*AE38/100</f>
        <v>545.928</v>
      </c>
      <c r="AJ38" s="21"/>
      <c r="AK38" s="22">
        <f t="shared" si="3"/>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f>AI39-AH39</f>
        <v>0</v>
      </c>
      <c r="R39" s="2"/>
      <c r="S39" s="2"/>
      <c r="T39" s="2"/>
      <c r="U39" s="2"/>
      <c r="V39" s="2"/>
      <c r="W39" s="2"/>
      <c r="X39" s="2"/>
      <c r="Y39" s="2"/>
      <c r="Z39" s="2"/>
      <c r="AA39" s="21">
        <f t="shared" si="0"/>
        <v>0</v>
      </c>
      <c r="AB39" s="130" t="s">
        <v>210</v>
      </c>
      <c r="AC39" s="170"/>
      <c r="AD39" s="174"/>
      <c r="AE39" s="153">
        <v>0</v>
      </c>
      <c r="AF39" s="169"/>
      <c r="AG39" s="181">
        <f>-AH39/$D$2%</f>
        <v>0</v>
      </c>
      <c r="AH39" s="700">
        <v>0</v>
      </c>
      <c r="AI39" s="170">
        <f>(AH39+I39)*AE39%</f>
        <v>0</v>
      </c>
      <c r="AJ39" s="173"/>
      <c r="AK39" s="22">
        <f t="shared" si="3"/>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f t="shared" si="0"/>
        <v>0</v>
      </c>
      <c r="AB40" s="130" t="s">
        <v>211</v>
      </c>
      <c r="AC40" s="170"/>
      <c r="AD40" s="174"/>
      <c r="AE40" s="153">
        <v>0</v>
      </c>
      <c r="AF40" s="169"/>
      <c r="AG40" s="181">
        <f>-AH40/$D$2%</f>
        <v>0</v>
      </c>
      <c r="AH40" s="700">
        <v>0</v>
      </c>
      <c r="AI40" s="181">
        <f>AH40*AE40%</f>
        <v>0</v>
      </c>
      <c r="AJ40" s="173"/>
      <c r="AK40" s="22">
        <f t="shared" si="3"/>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f t="shared" si="0"/>
        <v>0</v>
      </c>
      <c r="AB41" s="130" t="s">
        <v>212</v>
      </c>
      <c r="AC41" s="181"/>
      <c r="AD41" s="172"/>
      <c r="AE41" s="153">
        <v>0</v>
      </c>
      <c r="AF41" s="173"/>
      <c r="AG41" s="19"/>
      <c r="AH41" s="21"/>
      <c r="AI41" s="19">
        <f t="shared" ref="AI41:AI42" si="6">AA41*AE41/100</f>
        <v>0</v>
      </c>
      <c r="AJ41" s="21"/>
      <c r="AK41" s="22">
        <f t="shared" si="3"/>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f t="shared" si="0"/>
        <v>0</v>
      </c>
      <c r="AB42" s="130" t="s">
        <v>213</v>
      </c>
      <c r="AC42" s="181"/>
      <c r="AD42" s="172"/>
      <c r="AE42" s="153">
        <v>100</v>
      </c>
      <c r="AF42" s="173"/>
      <c r="AG42" s="19">
        <f>AA42*AC42/100</f>
        <v>0</v>
      </c>
      <c r="AH42" s="21"/>
      <c r="AI42" s="19">
        <f t="shared" si="6"/>
        <v>0</v>
      </c>
      <c r="AJ42" s="21"/>
      <c r="AK42" s="22">
        <f t="shared" si="3"/>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f t="shared" si="0"/>
        <v>0</v>
      </c>
      <c r="AB43" s="130" t="s">
        <v>214</v>
      </c>
      <c r="AC43" s="181"/>
      <c r="AD43" s="172"/>
      <c r="AE43" s="172"/>
      <c r="AF43" s="156">
        <v>79.439999999999984</v>
      </c>
      <c r="AG43" s="170"/>
      <c r="AH43" s="169"/>
      <c r="AI43" s="170">
        <f>-SUM(AI37:AI42)</f>
        <v>-815.75599999999997</v>
      </c>
      <c r="AJ43" s="169">
        <f>-AI43*AF43%</f>
        <v>648.03656639999986</v>
      </c>
      <c r="AK43" s="22">
        <f t="shared" si="3"/>
        <v>648.03656639999986</v>
      </c>
      <c r="AL43" s="157">
        <f>AJ43*65.2%</f>
        <v>422.51984129279992</v>
      </c>
      <c r="AM43" s="157">
        <f>AJ43*9.9%</f>
        <v>64.155620073599991</v>
      </c>
      <c r="AN43" s="153">
        <f>AJ43*13.2%</f>
        <v>85.540826764799988</v>
      </c>
      <c r="AO43" s="153">
        <f>AJ43*7%</f>
        <v>45.362559647999994</v>
      </c>
      <c r="AP43" s="153">
        <f>AJ43*0%</f>
        <v>0</v>
      </c>
      <c r="AQ43" s="153">
        <f>AJ43*3.2%</f>
        <v>20.737170124799995</v>
      </c>
      <c r="AR43" s="153">
        <f>AJ43*1.5%</f>
        <v>9.7205484959999975</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f t="shared" si="0"/>
        <v>0</v>
      </c>
      <c r="AB44" s="130" t="s">
        <v>187</v>
      </c>
      <c r="AC44" s="141">
        <v>0</v>
      </c>
      <c r="AD44" s="172"/>
      <c r="AE44" s="2">
        <v>0</v>
      </c>
      <c r="AF44" s="156"/>
      <c r="AG44" s="19">
        <f>AA44*AC44/100</f>
        <v>0</v>
      </c>
      <c r="AH44" s="169"/>
      <c r="AI44" s="170">
        <f>AA44*AE44/100</f>
        <v>0</v>
      </c>
      <c r="AJ44" s="169"/>
      <c r="AK44" s="22">
        <f t="shared" ref="AK44:AK59" si="7">SUM(AL44:AT44)</f>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f t="shared" si="0"/>
        <v>0</v>
      </c>
      <c r="AB45" s="130" t="s">
        <v>188</v>
      </c>
      <c r="AC45" s="181"/>
      <c r="AD45" s="172"/>
      <c r="AE45" s="153">
        <v>99</v>
      </c>
      <c r="AF45" s="173"/>
      <c r="AG45" s="170">
        <f>-AH45/$D$2%</f>
        <v>0</v>
      </c>
      <c r="AH45" s="169"/>
      <c r="AI45" s="170">
        <f>AA45*AE45%</f>
        <v>0</v>
      </c>
      <c r="AJ45" s="169"/>
      <c r="AK45" s="22">
        <f t="shared" si="7"/>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f>AI46-AH46</f>
        <v>0</v>
      </c>
      <c r="R46" s="24"/>
      <c r="S46" s="24"/>
      <c r="T46" s="24"/>
      <c r="U46" s="24"/>
      <c r="V46" s="24"/>
      <c r="W46" s="24"/>
      <c r="X46" s="24"/>
      <c r="Y46" s="24"/>
      <c r="Z46" s="24"/>
      <c r="AA46" s="29">
        <f t="shared" si="0"/>
        <v>0</v>
      </c>
      <c r="AB46" s="130" t="s">
        <v>189</v>
      </c>
      <c r="AC46" s="170"/>
      <c r="AD46" s="174"/>
      <c r="AE46" s="153">
        <v>300</v>
      </c>
      <c r="AF46" s="169"/>
      <c r="AG46" s="170">
        <f>-AH46/$D$2%</f>
        <v>0</v>
      </c>
      <c r="AH46" s="156"/>
      <c r="AI46" s="170">
        <f>(AH46+I46)*AE46%</f>
        <v>0</v>
      </c>
      <c r="AJ46" s="21"/>
      <c r="AK46" s="22">
        <f t="shared" si="7"/>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f t="shared" si="0"/>
        <v>0</v>
      </c>
      <c r="AB47" s="130" t="s">
        <v>190</v>
      </c>
      <c r="AC47" s="170"/>
      <c r="AD47" s="174"/>
      <c r="AE47" s="153">
        <v>100</v>
      </c>
      <c r="AF47" s="169"/>
      <c r="AG47" s="170">
        <f>-AH47/$D$2%</f>
        <v>0</v>
      </c>
      <c r="AH47" s="156"/>
      <c r="AI47" s="181">
        <f>AH47*AE47%</f>
        <v>0</v>
      </c>
      <c r="AJ47" s="169"/>
      <c r="AK47" s="22">
        <f t="shared" si="7"/>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f t="shared" si="0"/>
        <v>0</v>
      </c>
      <c r="AB48" s="130" t="s">
        <v>191</v>
      </c>
      <c r="AC48" s="170"/>
      <c r="AD48" s="174"/>
      <c r="AE48" s="24">
        <v>100</v>
      </c>
      <c r="AF48" s="169"/>
      <c r="AG48" s="170"/>
      <c r="AH48" s="169"/>
      <c r="AI48" s="170">
        <f>AA48*AE48/100</f>
        <v>0</v>
      </c>
      <c r="AJ48" s="169"/>
      <c r="AK48" s="22">
        <f t="shared" si="7"/>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f t="shared" si="0"/>
        <v>0</v>
      </c>
      <c r="AB49" s="130" t="s">
        <v>192</v>
      </c>
      <c r="AC49" s="181"/>
      <c r="AD49" s="172"/>
      <c r="AE49" s="153">
        <v>100</v>
      </c>
      <c r="AF49" s="173"/>
      <c r="AG49" s="170">
        <f>AA49*AC49%</f>
        <v>0</v>
      </c>
      <c r="AH49" s="169"/>
      <c r="AI49" s="170">
        <f>AA49*AE49%</f>
        <v>0</v>
      </c>
      <c r="AJ49" s="169"/>
      <c r="AK49" s="22">
        <f t="shared" si="7"/>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f t="shared" si="0"/>
        <v>0</v>
      </c>
      <c r="AB50" s="130" t="s">
        <v>193</v>
      </c>
      <c r="AC50" s="181"/>
      <c r="AD50" s="172"/>
      <c r="AE50" s="2">
        <v>100</v>
      </c>
      <c r="AF50" s="173"/>
      <c r="AG50" s="170"/>
      <c r="AH50" s="169"/>
      <c r="AI50" s="33"/>
      <c r="AJ50" s="169"/>
      <c r="AK50" s="22">
        <f t="shared" si="7"/>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f t="shared" si="0"/>
        <v>0</v>
      </c>
      <c r="AB51" s="130" t="s">
        <v>194</v>
      </c>
      <c r="AC51" s="181"/>
      <c r="AD51" s="172"/>
      <c r="AE51" s="172"/>
      <c r="AF51" s="156">
        <v>79.44</v>
      </c>
      <c r="AG51" s="170"/>
      <c r="AH51" s="169"/>
      <c r="AI51" s="6">
        <f>-SUM(AI44:AI50)</f>
        <v>0</v>
      </c>
      <c r="AJ51" s="169">
        <f>-AI51*AF51/100</f>
        <v>0</v>
      </c>
      <c r="AK51" s="22">
        <f t="shared" si="7"/>
        <v>0</v>
      </c>
      <c r="AL51" s="157">
        <f>AJ51*65.2%</f>
        <v>0</v>
      </c>
      <c r="AM51" s="157">
        <f>AJ51*9.9%</f>
        <v>0</v>
      </c>
      <c r="AN51" s="153">
        <f>AJ51*13.2%</f>
        <v>0</v>
      </c>
      <c r="AO51" s="153">
        <f>AJ51*7%</f>
        <v>0</v>
      </c>
      <c r="AP51" s="153">
        <f>AJ51*0%</f>
        <v>0</v>
      </c>
      <c r="AQ51" s="153">
        <f>AJ51*3.2%</f>
        <v>0</v>
      </c>
      <c r="AR51" s="153">
        <f>AJ51*1.5%</f>
        <v>0</v>
      </c>
      <c r="AS51" s="153"/>
      <c r="AT51" s="21"/>
    </row>
    <row r="52" spans="1:46" ht="15" customHeight="1" x14ac:dyDescent="0.2">
      <c r="A52" s="20"/>
      <c r="B52" s="153">
        <v>0</v>
      </c>
      <c r="C52" s="153">
        <v>0</v>
      </c>
      <c r="D52" s="153">
        <v>0</v>
      </c>
      <c r="E52" s="153">
        <v>0</v>
      </c>
      <c r="F52" s="153">
        <v>0</v>
      </c>
      <c r="G52" s="153">
        <v>0</v>
      </c>
      <c r="H52" s="153">
        <v>0</v>
      </c>
      <c r="I52" s="153">
        <v>7.2</v>
      </c>
      <c r="J52" s="31"/>
      <c r="K52" s="2"/>
      <c r="L52" s="2"/>
      <c r="M52" s="153">
        <v>0</v>
      </c>
      <c r="N52" s="153">
        <v>0</v>
      </c>
      <c r="O52" s="153">
        <v>0</v>
      </c>
      <c r="P52" s="153">
        <v>0</v>
      </c>
      <c r="Q52" s="153">
        <v>0</v>
      </c>
      <c r="R52" s="153">
        <v>50.370000000000005</v>
      </c>
      <c r="S52" s="153">
        <v>0</v>
      </c>
      <c r="T52" s="153">
        <v>0</v>
      </c>
      <c r="U52" s="153">
        <v>0</v>
      </c>
      <c r="V52" s="153">
        <v>0</v>
      </c>
      <c r="W52" s="153">
        <v>59.13</v>
      </c>
      <c r="X52" s="153">
        <v>0</v>
      </c>
      <c r="Y52" s="153">
        <v>0</v>
      </c>
      <c r="Z52" s="153">
        <v>0</v>
      </c>
      <c r="AA52" s="29">
        <f t="shared" si="0"/>
        <v>116.70000000000002</v>
      </c>
      <c r="AB52" s="130" t="s">
        <v>195</v>
      </c>
      <c r="AC52" s="155">
        <v>35.299999999999997</v>
      </c>
      <c r="AD52" s="172"/>
      <c r="AE52" s="153">
        <v>49.9</v>
      </c>
      <c r="AF52" s="173"/>
      <c r="AG52" s="19">
        <f t="shared" ref="AG52:AG54" si="8">AC52/100*AA52</f>
        <v>41.195100000000004</v>
      </c>
      <c r="AH52" s="21"/>
      <c r="AI52" s="19">
        <f>AA52*AE52/100</f>
        <v>58.233300000000007</v>
      </c>
      <c r="AJ52" s="21"/>
      <c r="AK52" s="22">
        <f t="shared" si="7"/>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f t="shared" si="0"/>
        <v>0</v>
      </c>
      <c r="AB53" s="130" t="s">
        <v>196</v>
      </c>
      <c r="AC53" s="181"/>
      <c r="AD53" s="172"/>
      <c r="AE53" s="153">
        <v>0</v>
      </c>
      <c r="AF53" s="173"/>
      <c r="AG53" s="19">
        <f t="shared" si="8"/>
        <v>0</v>
      </c>
      <c r="AH53" s="21"/>
      <c r="AI53" s="19">
        <f>AA53*AE53/100</f>
        <v>0</v>
      </c>
      <c r="AJ53" s="21"/>
      <c r="AK53" s="22">
        <f t="shared" si="7"/>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f t="shared" si="0"/>
        <v>0</v>
      </c>
      <c r="AB54" s="130" t="s">
        <v>197</v>
      </c>
      <c r="AC54" s="181"/>
      <c r="AD54" s="172"/>
      <c r="AE54" s="2">
        <v>100</v>
      </c>
      <c r="AF54" s="173"/>
      <c r="AG54" s="19">
        <f t="shared" si="8"/>
        <v>0</v>
      </c>
      <c r="AH54" s="156"/>
      <c r="AI54" s="33">
        <v>0</v>
      </c>
      <c r="AJ54" s="21"/>
      <c r="AK54" s="22">
        <f t="shared" si="7"/>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f t="shared" si="0"/>
        <v>0</v>
      </c>
      <c r="AB55" s="675" t="s">
        <v>198</v>
      </c>
      <c r="AC55" s="6"/>
      <c r="AD55" s="148"/>
      <c r="AE55" s="148"/>
      <c r="AF55" s="183"/>
      <c r="AG55" s="19">
        <f>-AH55</f>
        <v>-0.8</v>
      </c>
      <c r="AH55" s="8">
        <v>0.8</v>
      </c>
      <c r="AI55" s="141"/>
      <c r="AJ55" s="21"/>
      <c r="AK55" s="22">
        <f t="shared" si="7"/>
        <v>0.8</v>
      </c>
      <c r="AL55" s="175"/>
      <c r="AM55" s="174"/>
      <c r="AN55" s="174"/>
      <c r="AO55" s="174"/>
      <c r="AP55" s="174"/>
      <c r="AQ55" s="174">
        <f>AH55</f>
        <v>0.8</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f t="shared" si="0"/>
        <v>0</v>
      </c>
      <c r="AB56" s="675" t="s">
        <v>656</v>
      </c>
      <c r="AC56" s="6"/>
      <c r="AD56" s="148"/>
      <c r="AE56" s="148"/>
      <c r="AF56" s="173"/>
      <c r="AG56" s="19"/>
      <c r="AH56" s="173"/>
      <c r="AI56" s="141">
        <v>-58.2</v>
      </c>
      <c r="AJ56" s="21"/>
      <c r="AK56" s="22">
        <f t="shared" si="7"/>
        <v>58.2</v>
      </c>
      <c r="AL56" s="175"/>
      <c r="AM56" s="174"/>
      <c r="AN56" s="174"/>
      <c r="AO56" s="174"/>
      <c r="AP56" s="174"/>
      <c r="AQ56" s="174">
        <f>-AI56</f>
        <v>58.2</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f t="shared" si="0"/>
        <v>0</v>
      </c>
      <c r="AB57" s="130" t="s">
        <v>200</v>
      </c>
      <c r="AC57" s="6">
        <v>65</v>
      </c>
      <c r="AD57" s="148"/>
      <c r="AE57" s="148">
        <v>15</v>
      </c>
      <c r="AF57" s="173"/>
      <c r="AG57" s="19">
        <f>-AH57/$D$2%</f>
        <v>0</v>
      </c>
      <c r="AH57" s="173"/>
      <c r="AI57" s="141">
        <f>AH57*AE57%</f>
        <v>0</v>
      </c>
      <c r="AJ57" s="21">
        <f>AI57*AF60%</f>
        <v>0</v>
      </c>
      <c r="AK57" s="22">
        <f t="shared" si="7"/>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f t="shared" si="0"/>
        <v>0</v>
      </c>
      <c r="AB58" s="130" t="s">
        <v>201</v>
      </c>
      <c r="AC58" s="6">
        <v>630</v>
      </c>
      <c r="AD58" s="148"/>
      <c r="AE58" s="148"/>
      <c r="AF58" s="173"/>
      <c r="AG58" s="19">
        <f>-AH58/$D$2%</f>
        <v>0</v>
      </c>
      <c r="AH58" s="173"/>
      <c r="AI58" s="141">
        <f t="shared" ref="AI58:AI59" si="9">AH58*AE58%</f>
        <v>0</v>
      </c>
      <c r="AJ58" s="21">
        <f t="shared" ref="AJ58:AJ59" si="10">AI58*AF61%</f>
        <v>0</v>
      </c>
      <c r="AK58" s="22">
        <f t="shared" si="7"/>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f t="shared" si="0"/>
        <v>0</v>
      </c>
      <c r="AB59" s="130" t="s">
        <v>202</v>
      </c>
      <c r="AC59" s="6"/>
      <c r="AD59" s="148"/>
      <c r="AE59" s="148"/>
      <c r="AF59" s="173"/>
      <c r="AG59" s="19">
        <f>-AH59/$D$2%</f>
        <v>0</v>
      </c>
      <c r="AH59" s="173"/>
      <c r="AI59" s="141">
        <f t="shared" si="9"/>
        <v>0</v>
      </c>
      <c r="AJ59" s="21">
        <f t="shared" si="10"/>
        <v>0</v>
      </c>
      <c r="AK59" s="22">
        <f t="shared" si="7"/>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f t="shared" si="0"/>
        <v>0</v>
      </c>
      <c r="AB60" s="130" t="s">
        <v>203</v>
      </c>
      <c r="AC60" s="181"/>
      <c r="AD60" s="172"/>
      <c r="AE60" s="172"/>
      <c r="AF60" s="156">
        <v>79.44</v>
      </c>
      <c r="AG60" s="19"/>
      <c r="AH60" s="21"/>
      <c r="AI60" s="19">
        <f>-SUM(AI52:AI59)</f>
        <v>-3.3300000000004104E-2</v>
      </c>
      <c r="AJ60" s="21">
        <f>-AI60*AF60/100</f>
        <v>2.6453520000003259E-2</v>
      </c>
      <c r="AK60" s="22">
        <f t="shared" ref="AK60:AK61" si="11">SUM(AL60:AT60)</f>
        <v>2.6453520000003262E-2</v>
      </c>
      <c r="AL60" s="157">
        <f>AJ60*65.2%</f>
        <v>1.7247695040002127E-2</v>
      </c>
      <c r="AM60" s="157">
        <f>AJ60*9.9%</f>
        <v>2.6188984800003226E-3</v>
      </c>
      <c r="AN60" s="153">
        <f>AJ60*13.2%</f>
        <v>3.4918646400004302E-3</v>
      </c>
      <c r="AO60" s="153">
        <f>AJ60*7%</f>
        <v>1.8517464000002283E-3</v>
      </c>
      <c r="AP60" s="153">
        <f>AJ60*0%</f>
        <v>0</v>
      </c>
      <c r="AQ60" s="153">
        <f>AJ60*3.2%</f>
        <v>8.4651264000010435E-4</v>
      </c>
      <c r="AR60" s="153">
        <f>AJ60*1.5%</f>
        <v>3.9680280000004887E-4</v>
      </c>
      <c r="AS60" s="153"/>
      <c r="AT60" s="21"/>
    </row>
    <row r="61" spans="1:46" ht="15" customHeight="1" x14ac:dyDescent="0.2">
      <c r="A61" s="19"/>
      <c r="B61" s="20"/>
      <c r="C61" s="20"/>
      <c r="D61" s="20"/>
      <c r="E61" s="20"/>
      <c r="F61" s="172"/>
      <c r="G61" s="172"/>
      <c r="H61" s="153">
        <f>AA61-S61</f>
        <v>445.25466952756807</v>
      </c>
      <c r="I61" s="172"/>
      <c r="J61" s="172"/>
      <c r="K61" s="172"/>
      <c r="L61" s="172"/>
      <c r="M61" s="172"/>
      <c r="N61" s="172"/>
      <c r="O61" s="172"/>
      <c r="P61" s="172"/>
      <c r="Q61" s="172"/>
      <c r="R61" s="172"/>
      <c r="S61" s="153">
        <f>AA61*3.1%</f>
        <v>14.244473431738504</v>
      </c>
      <c r="T61" s="174"/>
      <c r="U61" s="20"/>
      <c r="V61" s="20"/>
      <c r="W61" s="20"/>
      <c r="X61" s="20"/>
      <c r="Y61" s="20"/>
      <c r="Z61" s="20"/>
      <c r="AA61" s="153">
        <v>459.4991429593066</v>
      </c>
      <c r="AB61" s="130" t="s">
        <v>204</v>
      </c>
      <c r="AC61" s="170"/>
      <c r="AD61" s="174">
        <v>19</v>
      </c>
      <c r="AE61" s="174"/>
      <c r="AF61" s="21"/>
      <c r="AG61" s="19"/>
      <c r="AH61" s="21"/>
      <c r="AI61" s="19"/>
      <c r="AJ61" s="21"/>
      <c r="AK61" s="22">
        <f t="shared" si="11"/>
        <v>87.304837162268257</v>
      </c>
      <c r="AL61" s="30"/>
      <c r="AM61" s="20"/>
      <c r="AN61" s="20"/>
      <c r="AO61" s="20"/>
      <c r="AP61" s="20"/>
      <c r="AQ61" s="20"/>
      <c r="AR61" s="20"/>
      <c r="AS61" s="20"/>
      <c r="AT61" s="21">
        <f>AA61*AD61/100</f>
        <v>87.304837162268257</v>
      </c>
    </row>
    <row r="62" spans="1:46" ht="15" customHeight="1" x14ac:dyDescent="0.2">
      <c r="A62" s="19"/>
      <c r="B62" s="20"/>
      <c r="C62" s="20"/>
      <c r="D62" s="20"/>
      <c r="E62" s="20"/>
      <c r="F62" s="153">
        <f>AA62-S62</f>
        <v>550.54807011421644</v>
      </c>
      <c r="G62" s="172"/>
      <c r="H62" s="172"/>
      <c r="I62" s="172"/>
      <c r="J62" s="172"/>
      <c r="K62" s="172"/>
      <c r="L62" s="172"/>
      <c r="M62" s="172"/>
      <c r="N62" s="172"/>
      <c r="O62" s="172"/>
      <c r="P62" s="172"/>
      <c r="Q62" s="172"/>
      <c r="R62" s="172"/>
      <c r="S62" s="153">
        <f>AA62*6.7%</f>
        <v>39.535606321170953</v>
      </c>
      <c r="T62" s="174"/>
      <c r="U62" s="20"/>
      <c r="V62" s="20"/>
      <c r="W62" s="20"/>
      <c r="X62" s="20"/>
      <c r="Y62" s="20"/>
      <c r="Z62" s="20"/>
      <c r="AA62" s="153">
        <v>590.08367643538736</v>
      </c>
      <c r="AB62" s="130" t="s">
        <v>205</v>
      </c>
      <c r="AC62" s="170"/>
      <c r="AD62" s="174">
        <v>24.3</v>
      </c>
      <c r="AE62" s="174"/>
      <c r="AF62" s="21"/>
      <c r="AG62" s="19"/>
      <c r="AH62" s="21"/>
      <c r="AI62" s="19"/>
      <c r="AJ62" s="21"/>
      <c r="AK62" s="22">
        <f t="shared" ref="AK62:AK80" si="12">SUM(AL62:AT62)</f>
        <v>143.39033337379914</v>
      </c>
      <c r="AL62" s="30"/>
      <c r="AM62" s="20"/>
      <c r="AN62" s="20"/>
      <c r="AO62" s="20"/>
      <c r="AP62" s="20"/>
      <c r="AQ62" s="20"/>
      <c r="AR62" s="20"/>
      <c r="AS62" s="20"/>
      <c r="AT62" s="21">
        <f>AA62*AD62/100</f>
        <v>143.39033337379914</v>
      </c>
    </row>
    <row r="63" spans="1:46" ht="15" customHeight="1" x14ac:dyDescent="0.2">
      <c r="A63" s="19"/>
      <c r="B63" s="20"/>
      <c r="C63" s="20"/>
      <c r="D63" s="20"/>
      <c r="E63" s="20"/>
      <c r="F63" s="153"/>
      <c r="G63" s="172"/>
      <c r="H63" s="172"/>
      <c r="I63" s="153">
        <v>0.14262242521701685</v>
      </c>
      <c r="J63" s="172"/>
      <c r="K63" s="172"/>
      <c r="L63" s="172"/>
      <c r="M63" s="172"/>
      <c r="N63" s="172"/>
      <c r="O63" s="172"/>
      <c r="P63" s="172"/>
      <c r="Q63" s="172"/>
      <c r="R63" s="172"/>
      <c r="S63" s="153"/>
      <c r="T63" s="174"/>
      <c r="U63" s="20"/>
      <c r="V63" s="20"/>
      <c r="W63" s="20"/>
      <c r="X63" s="20"/>
      <c r="Y63" s="20"/>
      <c r="Z63" s="20"/>
      <c r="AA63" s="4">
        <f t="shared" ref="AA63:AA66" si="13">SUM(A63:Z63)</f>
        <v>0.14262242521701685</v>
      </c>
      <c r="AB63" s="128" t="s">
        <v>649</v>
      </c>
      <c r="AC63" s="170"/>
      <c r="AD63" s="174">
        <v>22.6</v>
      </c>
      <c r="AE63" s="174"/>
      <c r="AF63" s="21"/>
      <c r="AG63" s="19"/>
      <c r="AH63" s="21"/>
      <c r="AI63" s="19"/>
      <c r="AJ63" s="21"/>
      <c r="AK63" s="22">
        <f t="shared" si="12"/>
        <v>3.2232668099045812E-2</v>
      </c>
      <c r="AL63" s="30"/>
      <c r="AM63" s="20"/>
      <c r="AN63" s="20"/>
      <c r="AO63" s="20"/>
      <c r="AP63" s="20"/>
      <c r="AQ63" s="20"/>
      <c r="AR63" s="20"/>
      <c r="AS63" s="20"/>
      <c r="AT63" s="21">
        <f>AA63*AD63/100</f>
        <v>3.2232668099045812E-2</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f t="shared" si="13"/>
        <v>0</v>
      </c>
      <c r="AB64" s="129" t="s">
        <v>650</v>
      </c>
      <c r="AC64" s="170">
        <v>70</v>
      </c>
      <c r="AD64" s="174"/>
      <c r="AE64" s="174"/>
      <c r="AF64" s="21"/>
      <c r="AG64" s="19">
        <f t="shared" ref="AG64:AG65" si="14">-AH64/$D$2%</f>
        <v>-0.33182469332450998</v>
      </c>
      <c r="AH64" s="153">
        <v>0.30478098081856242</v>
      </c>
      <c r="AI64" s="19"/>
      <c r="AJ64" s="21"/>
      <c r="AK64" s="22">
        <f t="shared" ref="AK64" si="15">SUM(AL64:AT64)</f>
        <v>0.21334668657299369</v>
      </c>
      <c r="AL64" s="30"/>
      <c r="AM64" s="20"/>
      <c r="AN64" s="20"/>
      <c r="AO64" s="20"/>
      <c r="AP64" s="20"/>
      <c r="AQ64" s="20"/>
      <c r="AR64" s="20"/>
      <c r="AS64" s="20"/>
      <c r="AT64" s="21">
        <f>AH64*AC64%</f>
        <v>0.21334668657299369</v>
      </c>
    </row>
    <row r="65" spans="1:46" ht="15" customHeight="1" x14ac:dyDescent="0.2">
      <c r="A65" s="19"/>
      <c r="B65" s="20"/>
      <c r="C65" s="20"/>
      <c r="D65" s="20"/>
      <c r="E65" s="20"/>
      <c r="F65" s="153"/>
      <c r="G65" s="172"/>
      <c r="H65" s="172">
        <f>AA65-S65</f>
        <v>0.65895694054979304</v>
      </c>
      <c r="I65" s="172"/>
      <c r="J65" s="172"/>
      <c r="K65" s="172"/>
      <c r="L65" s="172"/>
      <c r="M65" s="172"/>
      <c r="N65" s="172"/>
      <c r="O65" s="172"/>
      <c r="P65" s="172"/>
      <c r="Q65" s="172"/>
      <c r="R65" s="172"/>
      <c r="S65" s="153">
        <f>AA65*6.7%</f>
        <v>4.7320594873350628E-2</v>
      </c>
      <c r="T65" s="174"/>
      <c r="U65" s="20"/>
      <c r="V65" s="20"/>
      <c r="W65" s="20"/>
      <c r="X65" s="20"/>
      <c r="Y65" s="20"/>
      <c r="Z65" s="20"/>
      <c r="AA65" s="153">
        <v>0.70627753542314364</v>
      </c>
      <c r="AB65" s="130" t="s">
        <v>645</v>
      </c>
      <c r="AC65" s="170">
        <v>70</v>
      </c>
      <c r="AD65" s="174">
        <v>19</v>
      </c>
      <c r="AE65" s="174"/>
      <c r="AF65" s="21"/>
      <c r="AG65" s="19">
        <f t="shared" si="14"/>
        <v>-0.20871410176591848</v>
      </c>
      <c r="AH65" s="153">
        <f>AA65*AD65%/AC65%</f>
        <v>0.19170390247199612</v>
      </c>
      <c r="AI65" s="19"/>
      <c r="AJ65" s="21"/>
      <c r="AK65" s="22">
        <f t="shared" si="12"/>
        <v>0.26838546346079456</v>
      </c>
      <c r="AL65" s="30"/>
      <c r="AM65" s="20"/>
      <c r="AN65" s="20"/>
      <c r="AO65" s="20"/>
      <c r="AP65" s="20"/>
      <c r="AQ65" s="20"/>
      <c r="AR65" s="20"/>
      <c r="AS65" s="20"/>
      <c r="AT65" s="21">
        <f>AH65*AC65%+AA65*AD65%</f>
        <v>0.26838546346079456</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f t="shared" si="13"/>
        <v>0</v>
      </c>
      <c r="AB66" s="128" t="s">
        <v>644</v>
      </c>
      <c r="AC66" s="170"/>
      <c r="AD66" s="174">
        <v>40</v>
      </c>
      <c r="AE66" s="174"/>
      <c r="AF66" s="21"/>
      <c r="AG66" s="19"/>
      <c r="AH66" s="21"/>
      <c r="AI66" s="19"/>
      <c r="AJ66" s="21"/>
      <c r="AK66" s="22">
        <f t="shared" si="12"/>
        <v>0</v>
      </c>
      <c r="AL66" s="30"/>
      <c r="AM66" s="20"/>
      <c r="AN66" s="20"/>
      <c r="AO66" s="20"/>
      <c r="AP66" s="20"/>
      <c r="AQ66" s="20"/>
      <c r="AR66" s="20"/>
      <c r="AS66" s="20"/>
      <c r="AT66" s="21">
        <f>AA66*AD66%</f>
        <v>0</v>
      </c>
    </row>
    <row r="67" spans="1:46" ht="15" customHeight="1" x14ac:dyDescent="0.2">
      <c r="A67" s="19"/>
      <c r="B67" s="20"/>
      <c r="C67" s="20"/>
      <c r="D67" s="20"/>
      <c r="E67" s="20"/>
      <c r="F67" s="153">
        <f>AA67-S67</f>
        <v>55.639382943474047</v>
      </c>
      <c r="G67" s="172"/>
      <c r="H67" s="172"/>
      <c r="I67" s="172"/>
      <c r="J67" s="172"/>
      <c r="K67" s="172"/>
      <c r="L67" s="172"/>
      <c r="M67" s="172"/>
      <c r="N67" s="172"/>
      <c r="O67" s="172"/>
      <c r="P67" s="172"/>
      <c r="Q67" s="172"/>
      <c r="R67" s="172"/>
      <c r="S67" s="153">
        <f>AA67*6.7%</f>
        <v>3.9955398255227883</v>
      </c>
      <c r="T67" s="174"/>
      <c r="U67" s="20"/>
      <c r="V67" s="20"/>
      <c r="W67" s="20"/>
      <c r="X67" s="20"/>
      <c r="Y67" s="20"/>
      <c r="Z67" s="20"/>
      <c r="AA67" s="153">
        <v>59.634922768996837</v>
      </c>
      <c r="AB67" s="131" t="s">
        <v>206</v>
      </c>
      <c r="AC67" s="170"/>
      <c r="AD67" s="174">
        <v>29.6</v>
      </c>
      <c r="AE67" s="174"/>
      <c r="AF67" s="21"/>
      <c r="AG67" s="19">
        <f>-AH67/$D$2%</f>
        <v>0</v>
      </c>
      <c r="AH67" s="21"/>
      <c r="AI67" s="19"/>
      <c r="AJ67" s="21"/>
      <c r="AK67" s="22">
        <f t="shared" si="12"/>
        <v>17.651937139623065</v>
      </c>
      <c r="AL67" s="30"/>
      <c r="AM67" s="20"/>
      <c r="AN67" s="20"/>
      <c r="AO67" s="20"/>
      <c r="AP67" s="20"/>
      <c r="AQ67" s="20"/>
      <c r="AR67" s="20"/>
      <c r="AS67" s="20"/>
      <c r="AT67" s="21">
        <f>AA67*AD67%</f>
        <v>17.651937139623065</v>
      </c>
    </row>
    <row r="68" spans="1:46" ht="15" customHeight="1" x14ac:dyDescent="0.2">
      <c r="A68" s="19"/>
      <c r="B68" s="20"/>
      <c r="C68" s="20"/>
      <c r="D68" s="20"/>
      <c r="E68" s="20"/>
      <c r="F68" s="153"/>
      <c r="G68" s="172"/>
      <c r="H68" s="172"/>
      <c r="I68" s="153">
        <v>6.2416431073559995</v>
      </c>
      <c r="J68" s="172"/>
      <c r="K68" s="172"/>
      <c r="L68" s="172"/>
      <c r="M68" s="172"/>
      <c r="N68" s="172"/>
      <c r="O68" s="172"/>
      <c r="P68" s="172"/>
      <c r="Q68" s="172"/>
      <c r="R68" s="172"/>
      <c r="S68" s="153"/>
      <c r="T68" s="174"/>
      <c r="U68" s="20"/>
      <c r="V68" s="20"/>
      <c r="W68" s="20"/>
      <c r="X68" s="20"/>
      <c r="Y68" s="20"/>
      <c r="Z68" s="20"/>
      <c r="AA68" s="29">
        <f t="shared" ref="AA68:AA70" si="16">SUM(A68:Z68)</f>
        <v>6.2416431073559995</v>
      </c>
      <c r="AB68" s="676" t="s">
        <v>640</v>
      </c>
      <c r="AC68" s="170"/>
      <c r="AD68" s="174">
        <v>26.1</v>
      </c>
      <c r="AE68" s="174"/>
      <c r="AF68" s="21"/>
      <c r="AG68" s="19"/>
      <c r="AH68" s="21"/>
      <c r="AI68" s="19"/>
      <c r="AJ68" s="21"/>
      <c r="AK68" s="22">
        <f t="shared" si="12"/>
        <v>1.6290688510199158</v>
      </c>
      <c r="AL68" s="30"/>
      <c r="AM68" s="20"/>
      <c r="AN68" s="20"/>
      <c r="AO68" s="20"/>
      <c r="AP68" s="20"/>
      <c r="AQ68" s="20"/>
      <c r="AR68" s="20"/>
      <c r="AS68" s="20"/>
      <c r="AT68" s="21">
        <f>AA68*AD68%</f>
        <v>1.6290688510199158</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f t="shared" si="16"/>
        <v>0</v>
      </c>
      <c r="AB69" s="676" t="s">
        <v>641</v>
      </c>
      <c r="AC69" s="170"/>
      <c r="AD69" s="174">
        <v>40</v>
      </c>
      <c r="AE69" s="174"/>
      <c r="AF69" s="21"/>
      <c r="AG69" s="19"/>
      <c r="AH69" s="21"/>
      <c r="AI69" s="19"/>
      <c r="AJ69" s="21"/>
      <c r="AK69" s="22">
        <f t="shared" si="12"/>
        <v>0</v>
      </c>
      <c r="AL69" s="30"/>
      <c r="AM69" s="20"/>
      <c r="AN69" s="20"/>
      <c r="AO69" s="20"/>
      <c r="AP69" s="20"/>
      <c r="AQ69" s="20"/>
      <c r="AR69" s="20"/>
      <c r="AS69" s="20"/>
      <c r="AT69" s="21">
        <f t="shared" ref="AT69:AT74" si="17">AA69*AD69%</f>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f t="shared" si="16"/>
        <v>0</v>
      </c>
      <c r="AB70" s="131" t="s">
        <v>651</v>
      </c>
      <c r="AC70" s="170">
        <v>70</v>
      </c>
      <c r="AD70" s="174"/>
      <c r="AE70" s="174"/>
      <c r="AF70" s="21"/>
      <c r="AG70" s="19">
        <f t="shared" ref="AG70" si="18">-AH70/$D$2%</f>
        <v>0</v>
      </c>
      <c r="AH70" s="153"/>
      <c r="AI70" s="19"/>
      <c r="AJ70" s="21"/>
      <c r="AK70" s="22">
        <f t="shared" ref="AK70:AK79" si="19">SUM(AL70:AT70)</f>
        <v>0</v>
      </c>
      <c r="AL70" s="30"/>
      <c r="AM70" s="20"/>
      <c r="AN70" s="20"/>
      <c r="AO70" s="20"/>
      <c r="AP70" s="20"/>
      <c r="AQ70" s="20"/>
      <c r="AR70" s="20"/>
      <c r="AS70" s="20"/>
      <c r="AT70" s="21">
        <f t="shared" si="17"/>
        <v>0</v>
      </c>
    </row>
    <row r="71" spans="1:46" ht="15" customHeight="1" x14ac:dyDescent="0.2">
      <c r="A71" s="19"/>
      <c r="B71" s="20"/>
      <c r="C71" s="20"/>
      <c r="D71" s="20"/>
      <c r="E71" s="20"/>
      <c r="F71" s="153">
        <f>AA71-S71</f>
        <v>354.89963894862973</v>
      </c>
      <c r="G71" s="172"/>
      <c r="H71" s="172"/>
      <c r="I71" s="172"/>
      <c r="J71" s="172"/>
      <c r="K71" s="172"/>
      <c r="L71" s="172"/>
      <c r="M71" s="172"/>
      <c r="N71" s="172"/>
      <c r="O71" s="172"/>
      <c r="P71" s="172"/>
      <c r="Q71" s="172"/>
      <c r="R71" s="172"/>
      <c r="S71" s="153">
        <f>AA71*6.7%</f>
        <v>25.485826162441796</v>
      </c>
      <c r="T71" s="174"/>
      <c r="U71" s="20"/>
      <c r="V71" s="20"/>
      <c r="W71" s="20"/>
      <c r="X71" s="20"/>
      <c r="Y71" s="20"/>
      <c r="Z71" s="20"/>
      <c r="AA71" s="697">
        <v>380.38546511107154</v>
      </c>
      <c r="AB71" s="131" t="s">
        <v>207</v>
      </c>
      <c r="AC71" s="170"/>
      <c r="AD71" s="174">
        <v>36.5</v>
      </c>
      <c r="AE71" s="174"/>
      <c r="AF71" s="21"/>
      <c r="AG71" s="19"/>
      <c r="AH71" s="169"/>
      <c r="AI71" s="19"/>
      <c r="AJ71" s="21"/>
      <c r="AK71" s="22">
        <f t="shared" si="19"/>
        <v>138.84069476554112</v>
      </c>
      <c r="AL71" s="30"/>
      <c r="AM71" s="20"/>
      <c r="AN71" s="20"/>
      <c r="AO71" s="20"/>
      <c r="AP71" s="20"/>
      <c r="AQ71" s="20"/>
      <c r="AR71" s="20"/>
      <c r="AS71" s="20"/>
      <c r="AT71" s="21">
        <f t="shared" si="17"/>
        <v>138.84069476554112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f t="shared" ref="AA72:AA74" si="20">SUM(A72:Z72)</f>
        <v>0</v>
      </c>
      <c r="AB72" s="676" t="s">
        <v>642</v>
      </c>
      <c r="AC72" s="170"/>
      <c r="AD72" s="174">
        <v>32.200000000000003</v>
      </c>
      <c r="AE72" s="174"/>
      <c r="AF72" s="21"/>
      <c r="AG72" s="19"/>
      <c r="AH72" s="169"/>
      <c r="AI72" s="19"/>
      <c r="AJ72" s="21"/>
      <c r="AK72" s="22">
        <f t="shared" si="19"/>
        <v>0</v>
      </c>
      <c r="AL72" s="30"/>
      <c r="AM72" s="20"/>
      <c r="AN72" s="20"/>
      <c r="AO72" s="20"/>
      <c r="AP72" s="20"/>
      <c r="AQ72" s="20"/>
      <c r="AR72" s="20"/>
      <c r="AS72" s="20"/>
      <c r="AT72" s="21">
        <f t="shared" si="17"/>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f t="shared" si="20"/>
        <v>0</v>
      </c>
      <c r="AB73" s="676" t="s">
        <v>643</v>
      </c>
      <c r="AC73" s="170"/>
      <c r="AD73" s="174">
        <v>40</v>
      </c>
      <c r="AE73" s="174"/>
      <c r="AF73" s="21"/>
      <c r="AG73" s="19"/>
      <c r="AH73" s="169"/>
      <c r="AI73" s="19"/>
      <c r="AJ73" s="21"/>
      <c r="AK73" s="22">
        <f t="shared" si="19"/>
        <v>0</v>
      </c>
      <c r="AL73" s="30"/>
      <c r="AM73" s="20"/>
      <c r="AN73" s="20"/>
      <c r="AO73" s="20"/>
      <c r="AP73" s="20"/>
      <c r="AQ73" s="20"/>
      <c r="AR73" s="20"/>
      <c r="AS73" s="20"/>
      <c r="AT73" s="21">
        <f t="shared" si="17"/>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f t="shared" si="20"/>
        <v>0</v>
      </c>
      <c r="AB74" s="131" t="s">
        <v>652</v>
      </c>
      <c r="AC74" s="170">
        <v>70</v>
      </c>
      <c r="AD74" s="174"/>
      <c r="AE74" s="174"/>
      <c r="AF74" s="21"/>
      <c r="AG74" s="19">
        <f t="shared" ref="AG74" si="21">-AH74/$D$2%</f>
        <v>0</v>
      </c>
      <c r="AH74" s="153"/>
      <c r="AI74" s="19"/>
      <c r="AJ74" s="21"/>
      <c r="AK74" s="22">
        <f t="shared" si="19"/>
        <v>0</v>
      </c>
      <c r="AL74" s="30"/>
      <c r="AM74" s="20"/>
      <c r="AN74" s="20"/>
      <c r="AO74" s="20"/>
      <c r="AP74" s="20"/>
      <c r="AQ74" s="20"/>
      <c r="AR74" s="20"/>
      <c r="AS74" s="20"/>
      <c r="AT74" s="21">
        <f t="shared" si="17"/>
        <v>0</v>
      </c>
    </row>
    <row r="75" spans="1:46" ht="15" customHeight="1" x14ac:dyDescent="0.2">
      <c r="A75" s="19"/>
      <c r="B75" s="20"/>
      <c r="C75" s="20"/>
      <c r="D75" s="20"/>
      <c r="E75" s="20"/>
      <c r="F75" s="153">
        <v>224.93560041197676</v>
      </c>
      <c r="G75" s="2"/>
      <c r="H75" s="2"/>
      <c r="I75" s="2"/>
      <c r="J75" s="2"/>
      <c r="K75" s="2"/>
      <c r="L75" s="2"/>
      <c r="M75" s="2"/>
      <c r="N75" s="2"/>
      <c r="O75" s="2"/>
      <c r="P75" s="2"/>
      <c r="Q75" s="2"/>
      <c r="R75" s="2"/>
      <c r="S75" s="153"/>
      <c r="T75" s="20"/>
      <c r="U75" s="20"/>
      <c r="V75" s="20"/>
      <c r="W75" s="20"/>
      <c r="X75" s="20"/>
      <c r="Y75" s="20"/>
      <c r="Z75" s="20"/>
      <c r="AA75" s="29">
        <f t="shared" si="0"/>
        <v>224.93560041197676</v>
      </c>
      <c r="AB75" s="131" t="s">
        <v>208</v>
      </c>
      <c r="AC75" s="170"/>
      <c r="AD75" s="174">
        <v>36.5</v>
      </c>
      <c r="AE75" s="174"/>
      <c r="AF75" s="21"/>
      <c r="AG75" s="19"/>
      <c r="AH75" s="21"/>
      <c r="AI75" s="19"/>
      <c r="AJ75" s="21"/>
      <c r="AK75" s="22">
        <f t="shared" si="19"/>
        <v>82.101494150371522</v>
      </c>
      <c r="AL75" s="30"/>
      <c r="AM75" s="20"/>
      <c r="AN75" s="20"/>
      <c r="AO75" s="20"/>
      <c r="AP75" s="20"/>
      <c r="AQ75" s="20"/>
      <c r="AR75" s="20"/>
      <c r="AS75" s="20">
        <f>AA75*AD75%</f>
        <v>82.101494150371522</v>
      </c>
      <c r="AT75" s="21"/>
    </row>
    <row r="76" spans="1:46" ht="15" customHeight="1" x14ac:dyDescent="0.2">
      <c r="A76" s="19"/>
      <c r="B76" s="20"/>
      <c r="C76" s="20"/>
      <c r="D76" s="20"/>
      <c r="E76" s="20"/>
      <c r="F76" s="153">
        <f>AA76-S76</f>
        <v>0</v>
      </c>
      <c r="G76" s="2"/>
      <c r="H76" s="2"/>
      <c r="I76" s="2"/>
      <c r="J76" s="2"/>
      <c r="K76" s="2"/>
      <c r="L76" s="2"/>
      <c r="M76" s="2"/>
      <c r="N76" s="2"/>
      <c r="O76" s="2"/>
      <c r="P76" s="2"/>
      <c r="Q76" s="2"/>
      <c r="R76" s="2"/>
      <c r="S76" s="153">
        <f>AA76*6.7%</f>
        <v>0</v>
      </c>
      <c r="T76" s="20"/>
      <c r="U76" s="20"/>
      <c r="V76" s="20"/>
      <c r="W76" s="20"/>
      <c r="X76" s="20"/>
      <c r="Y76" s="20"/>
      <c r="Z76" s="20"/>
      <c r="AA76" s="25"/>
      <c r="AB76" s="676" t="s">
        <v>671</v>
      </c>
      <c r="AC76" s="170"/>
      <c r="AD76" s="174">
        <v>12</v>
      </c>
      <c r="AE76" s="174"/>
      <c r="AF76" s="21"/>
      <c r="AG76" s="19"/>
      <c r="AH76" s="21"/>
      <c r="AI76" s="19"/>
      <c r="AJ76" s="21"/>
      <c r="AK76" s="22">
        <f t="shared" si="19"/>
        <v>0</v>
      </c>
      <c r="AL76" s="30"/>
      <c r="AM76" s="20"/>
      <c r="AN76" s="20"/>
      <c r="AO76" s="20"/>
      <c r="AP76" s="20"/>
      <c r="AQ76" s="20"/>
      <c r="AR76" s="20"/>
      <c r="AS76" s="20"/>
      <c r="AT76" s="21">
        <f>AA76*AD76%</f>
        <v>0</v>
      </c>
    </row>
    <row r="77" spans="1:46" ht="15" customHeight="1" x14ac:dyDescent="0.2">
      <c r="A77" s="19"/>
      <c r="B77" s="20"/>
      <c r="C77" s="20"/>
      <c r="D77" s="20"/>
      <c r="E77" s="20"/>
      <c r="F77" s="153">
        <f>AA77-S77</f>
        <v>22.7652</v>
      </c>
      <c r="G77" s="172"/>
      <c r="H77" s="172"/>
      <c r="I77" s="172"/>
      <c r="J77" s="2"/>
      <c r="K77" s="2"/>
      <c r="L77" s="2"/>
      <c r="M77" s="172"/>
      <c r="N77" s="172"/>
      <c r="O77" s="172"/>
      <c r="P77" s="172"/>
      <c r="Q77" s="172"/>
      <c r="R77" s="172"/>
      <c r="S77" s="153">
        <f>AA77*6.7%</f>
        <v>1.6348</v>
      </c>
      <c r="T77" s="20"/>
      <c r="U77" s="20"/>
      <c r="V77" s="20"/>
      <c r="W77" s="20"/>
      <c r="X77" s="20"/>
      <c r="Y77" s="20"/>
      <c r="Z77" s="20"/>
      <c r="AA77" s="25">
        <v>24.4</v>
      </c>
      <c r="AB77" s="676" t="s">
        <v>672</v>
      </c>
      <c r="AC77" s="170"/>
      <c r="AD77" s="174">
        <v>25</v>
      </c>
      <c r="AE77" s="174"/>
      <c r="AF77" s="21"/>
      <c r="AG77" s="19"/>
      <c r="AH77" s="21"/>
      <c r="AI77" s="19"/>
      <c r="AJ77" s="21"/>
      <c r="AK77" s="22">
        <f t="shared" si="19"/>
        <v>6.1</v>
      </c>
      <c r="AL77" s="30"/>
      <c r="AM77" s="20"/>
      <c r="AN77" s="20"/>
      <c r="AO77" s="20"/>
      <c r="AP77" s="20"/>
      <c r="AQ77" s="20"/>
      <c r="AR77" s="20"/>
      <c r="AS77" s="20"/>
      <c r="AT77" s="21">
        <f>AA77*AD77%</f>
        <v>6.1</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f>SUM(A78:Z78)</f>
        <v>0</v>
      </c>
      <c r="AB78" s="676" t="s">
        <v>673</v>
      </c>
      <c r="AC78" s="687">
        <v>67</v>
      </c>
      <c r="AD78" s="174"/>
      <c r="AE78" s="184"/>
      <c r="AF78" s="41"/>
      <c r="AG78" s="19">
        <f t="shared" ref="AG78" si="22">-AH78/$D$2%</f>
        <v>0</v>
      </c>
      <c r="AH78" s="701">
        <v>0</v>
      </c>
      <c r="AI78" s="38"/>
      <c r="AJ78" s="41"/>
      <c r="AK78" s="22">
        <f t="shared" si="19"/>
        <v>0</v>
      </c>
      <c r="AL78" s="42"/>
      <c r="AM78" s="39"/>
      <c r="AN78" s="39"/>
      <c r="AO78" s="39"/>
      <c r="AP78" s="39"/>
      <c r="AQ78" s="39"/>
      <c r="AR78" s="39"/>
      <c r="AS78" s="39"/>
      <c r="AT78" s="21">
        <f>AC78*AH78%</f>
        <v>0</v>
      </c>
    </row>
    <row r="79" spans="1:46" ht="15" customHeight="1" x14ac:dyDescent="0.2">
      <c r="A79" s="38"/>
      <c r="B79" s="39"/>
      <c r="C79" s="39"/>
      <c r="D79" s="184"/>
      <c r="E79" s="184"/>
      <c r="F79" s="184"/>
      <c r="G79" s="154">
        <v>360.5</v>
      </c>
      <c r="H79" s="153">
        <v>0.4</v>
      </c>
      <c r="I79" s="184"/>
      <c r="J79" s="40"/>
      <c r="K79" s="40"/>
      <c r="L79" s="40"/>
      <c r="M79" s="184"/>
      <c r="N79" s="39"/>
      <c r="O79" s="39"/>
      <c r="P79" s="39"/>
      <c r="Q79" s="39"/>
      <c r="R79" s="39"/>
      <c r="S79" s="39"/>
      <c r="T79" s="39"/>
      <c r="U79" s="39"/>
      <c r="V79" s="39"/>
      <c r="W79" s="39"/>
      <c r="X79" s="39"/>
      <c r="Y79" s="39"/>
      <c r="Z79" s="39"/>
      <c r="AA79" s="21">
        <f>SUM(A79:Z79)</f>
        <v>360.9</v>
      </c>
      <c r="AB79" s="131" t="s">
        <v>9</v>
      </c>
      <c r="AC79" s="687"/>
      <c r="AD79" s="174">
        <v>13.5</v>
      </c>
      <c r="AE79" s="184"/>
      <c r="AF79" s="41"/>
      <c r="AG79" s="38"/>
      <c r="AH79" s="41"/>
      <c r="AI79" s="38"/>
      <c r="AJ79" s="41"/>
      <c r="AK79" s="22">
        <f t="shared" si="19"/>
        <v>48.721499999999999</v>
      </c>
      <c r="AL79" s="42"/>
      <c r="AM79" s="39"/>
      <c r="AN79" s="39"/>
      <c r="AO79" s="39"/>
      <c r="AP79" s="39"/>
      <c r="AQ79" s="39"/>
      <c r="AR79" s="39"/>
      <c r="AS79" s="39"/>
      <c r="AT79" s="21">
        <f>AD79*AA79%</f>
        <v>48.721499999999999</v>
      </c>
    </row>
    <row r="80" spans="1:46" ht="15" customHeight="1" thickBot="1" x14ac:dyDescent="0.25">
      <c r="A80" s="38"/>
      <c r="B80" s="39"/>
      <c r="C80" s="39"/>
      <c r="D80" s="154">
        <v>0</v>
      </c>
      <c r="E80" s="184"/>
      <c r="F80" s="154">
        <v>51.5</v>
      </c>
      <c r="G80" s="184"/>
      <c r="H80" s="184"/>
      <c r="I80" s="184"/>
      <c r="J80" s="40"/>
      <c r="K80" s="40"/>
      <c r="L80" s="40"/>
      <c r="M80" s="184"/>
      <c r="N80" s="39"/>
      <c r="O80" s="39"/>
      <c r="P80" s="39"/>
      <c r="Q80" s="39"/>
      <c r="R80" s="39"/>
      <c r="S80" s="39"/>
      <c r="T80" s="39"/>
      <c r="U80" s="39"/>
      <c r="V80" s="39"/>
      <c r="W80" s="39"/>
      <c r="X80" s="39"/>
      <c r="Y80" s="39"/>
      <c r="Z80" s="39"/>
      <c r="AA80" s="41">
        <f t="shared" si="0"/>
        <v>51.5</v>
      </c>
      <c r="AB80" s="132" t="s">
        <v>5</v>
      </c>
      <c r="AC80" s="688"/>
      <c r="AD80" s="174">
        <v>20</v>
      </c>
      <c r="AE80" s="689"/>
      <c r="AF80" s="45"/>
      <c r="AG80" s="43"/>
      <c r="AH80" s="45"/>
      <c r="AI80" s="43"/>
      <c r="AJ80" s="45"/>
      <c r="AK80" s="46">
        <f t="shared" si="12"/>
        <v>10.3</v>
      </c>
      <c r="AL80" s="47"/>
      <c r="AM80" s="44"/>
      <c r="AN80" s="44"/>
      <c r="AO80" s="44"/>
      <c r="AP80" s="44"/>
      <c r="AQ80" s="44"/>
      <c r="AR80" s="44"/>
      <c r="AS80" s="44"/>
      <c r="AT80" s="21">
        <f>AA80*AD80%</f>
        <v>10.3</v>
      </c>
    </row>
    <row r="81" spans="1:47" ht="15" customHeight="1" thickBot="1" x14ac:dyDescent="0.25">
      <c r="A81" s="48">
        <f t="shared" ref="A81:L81" si="23">SUM(A8:A80)</f>
        <v>-131.98567831968447</v>
      </c>
      <c r="B81" s="49">
        <f t="shared" si="23"/>
        <v>20.399999999999999</v>
      </c>
      <c r="C81" s="49">
        <f t="shared" si="23"/>
        <v>0</v>
      </c>
      <c r="D81" s="49">
        <f t="shared" si="23"/>
        <v>0</v>
      </c>
      <c r="E81" s="49">
        <f t="shared" si="23"/>
        <v>158.00000000000003</v>
      </c>
      <c r="F81" s="49">
        <f t="shared" si="23"/>
        <v>1260.2878924182971</v>
      </c>
      <c r="G81" s="49">
        <f t="shared" si="23"/>
        <v>360.5</v>
      </c>
      <c r="H81" s="49">
        <f t="shared" si="23"/>
        <v>446.31362646811783</v>
      </c>
      <c r="I81" s="49">
        <f t="shared" si="23"/>
        <v>913.18426553257314</v>
      </c>
      <c r="J81" s="49">
        <f t="shared" si="23"/>
        <v>0</v>
      </c>
      <c r="K81" s="49">
        <f t="shared" si="23"/>
        <v>0</v>
      </c>
      <c r="L81" s="49">
        <f t="shared" si="23"/>
        <v>0</v>
      </c>
      <c r="M81" s="49">
        <f t="shared" ref="M81:AA81" si="24">SUM(M8:M80)</f>
        <v>957</v>
      </c>
      <c r="N81" s="49">
        <f t="shared" si="24"/>
        <v>0</v>
      </c>
      <c r="O81" s="49">
        <f t="shared" si="24"/>
        <v>47.7</v>
      </c>
      <c r="P81" s="49">
        <f t="shared" si="24"/>
        <v>0</v>
      </c>
      <c r="Q81" s="49">
        <f t="shared" si="24"/>
        <v>10.199999999999999</v>
      </c>
      <c r="R81" s="49">
        <f t="shared" si="24"/>
        <v>160.22669999999999</v>
      </c>
      <c r="S81" s="49">
        <f t="shared" si="24"/>
        <v>119.78306633574739</v>
      </c>
      <c r="T81" s="49">
        <f t="shared" si="24"/>
        <v>119.17339999999999</v>
      </c>
      <c r="U81" s="49">
        <f t="shared" si="24"/>
        <v>515.6</v>
      </c>
      <c r="V81" s="49">
        <f t="shared" si="24"/>
        <v>1215.8999999999999</v>
      </c>
      <c r="W81" s="49">
        <f t="shared" si="24"/>
        <v>222.76039999999998</v>
      </c>
      <c r="X81" s="49">
        <f t="shared" si="24"/>
        <v>0</v>
      </c>
      <c r="Y81" s="49">
        <f t="shared" si="24"/>
        <v>1.3</v>
      </c>
      <c r="Z81" s="49">
        <f t="shared" si="24"/>
        <v>0</v>
      </c>
      <c r="AA81" s="50">
        <f t="shared" si="24"/>
        <v>6396.3436724350495</v>
      </c>
      <c r="AB81" s="51" t="s">
        <v>1</v>
      </c>
      <c r="AC81" s="52"/>
      <c r="AD81" s="52"/>
      <c r="AE81" s="52"/>
      <c r="AF81" s="52"/>
      <c r="AG81" s="48">
        <f t="shared" ref="AG81:AT81" si="25">SUM(AG8:AG80)</f>
        <v>1.7330581414398694E-13</v>
      </c>
      <c r="AH81" s="50">
        <f t="shared" si="25"/>
        <v>970.54083866336964</v>
      </c>
      <c r="AI81" s="48">
        <f t="shared" si="25"/>
        <v>0</v>
      </c>
      <c r="AJ81" s="50">
        <f t="shared" si="25"/>
        <v>648.06301991999987</v>
      </c>
      <c r="AK81" s="51">
        <f t="shared" si="25"/>
        <v>3774.4597101769068</v>
      </c>
      <c r="AL81" s="53">
        <f t="shared" si="25"/>
        <v>1696.7753130064955</v>
      </c>
      <c r="AM81" s="49">
        <f t="shared" si="25"/>
        <v>173.30259027437458</v>
      </c>
      <c r="AN81" s="49">
        <f t="shared" si="25"/>
        <v>139.35197414528125</v>
      </c>
      <c r="AO81" s="49">
        <f t="shared" si="25"/>
        <v>125.67924148773469</v>
      </c>
      <c r="AP81" s="49">
        <f t="shared" si="25"/>
        <v>6.6050750371824076</v>
      </c>
      <c r="AQ81" s="49">
        <f t="shared" si="25"/>
        <v>957.8505693743183</v>
      </c>
      <c r="AR81" s="49">
        <f t="shared" si="25"/>
        <v>14.572511628461958</v>
      </c>
      <c r="AS81" s="49">
        <f t="shared" si="25"/>
        <v>203.1196991126742</v>
      </c>
      <c r="AT81" s="50">
        <f t="shared" si="25"/>
        <v>457.20273611038436</v>
      </c>
    </row>
    <row r="82" spans="1:47" ht="15" customHeight="1" x14ac:dyDescent="0.25">
      <c r="A82" s="26">
        <f t="shared" ref="A82:Y82" si="26">A81*A89/1000</f>
        <v>-16.382062393039238</v>
      </c>
      <c r="B82" s="28">
        <f t="shared" si="26"/>
        <v>1.3219199999999998</v>
      </c>
      <c r="C82" s="28">
        <f t="shared" si="26"/>
        <v>0</v>
      </c>
      <c r="D82" s="28">
        <f t="shared" si="26"/>
        <v>0</v>
      </c>
      <c r="E82" s="28">
        <f t="shared" si="26"/>
        <v>11.707800000000001</v>
      </c>
      <c r="F82" s="28">
        <f t="shared" si="26"/>
        <v>93.387332828195809</v>
      </c>
      <c r="G82" s="28">
        <f t="shared" si="26"/>
        <v>25.956</v>
      </c>
      <c r="H82" s="28">
        <f t="shared" si="26"/>
        <v>32.580894732172602</v>
      </c>
      <c r="I82" s="28">
        <f t="shared" si="26"/>
        <v>52.051503135356668</v>
      </c>
      <c r="J82" s="27"/>
      <c r="K82" s="27"/>
      <c r="L82" s="27"/>
      <c r="M82" s="28">
        <f t="shared" si="26"/>
        <v>0</v>
      </c>
      <c r="N82" s="28">
        <f t="shared" si="26"/>
        <v>0</v>
      </c>
      <c r="O82" s="28">
        <f t="shared" si="26"/>
        <v>0</v>
      </c>
      <c r="P82" s="28">
        <f t="shared" si="26"/>
        <v>0</v>
      </c>
      <c r="Q82" s="28">
        <v>0</v>
      </c>
      <c r="R82" s="28">
        <f t="shared" si="26"/>
        <v>0</v>
      </c>
      <c r="S82" s="28">
        <f t="shared" si="26"/>
        <v>0</v>
      </c>
      <c r="T82" s="28">
        <f t="shared" si="26"/>
        <v>0</v>
      </c>
      <c r="U82" s="28">
        <f t="shared" si="26"/>
        <v>0</v>
      </c>
      <c r="V82" s="28">
        <f t="shared" si="26"/>
        <v>0</v>
      </c>
      <c r="W82" s="28">
        <f t="shared" si="26"/>
        <v>0</v>
      </c>
      <c r="X82" s="28">
        <f t="shared" si="26"/>
        <v>0</v>
      </c>
      <c r="Y82" s="28">
        <f t="shared" si="26"/>
        <v>0</v>
      </c>
      <c r="Z82" s="28">
        <f>Z81*Z89/1000</f>
        <v>0</v>
      </c>
      <c r="AA82" s="29">
        <f>SUM(A82:Z82)</f>
        <v>200.62338830268584</v>
      </c>
      <c r="AB82" s="54" t="s">
        <v>30</v>
      </c>
      <c r="AC82" s="55">
        <f>AA82*1000/D1</f>
        <v>4.3053153136909774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441</v>
      </c>
      <c r="S83" s="153">
        <v>766</v>
      </c>
      <c r="T83" s="153">
        <v>475</v>
      </c>
      <c r="U83" s="153">
        <v>364.37178342551363</v>
      </c>
      <c r="V83" s="20"/>
      <c r="W83" s="20"/>
      <c r="X83" s="20"/>
      <c r="Y83" s="20"/>
      <c r="Z83" s="20"/>
      <c r="AA83" s="21">
        <f>SUM(A83:Z83)</f>
        <v>2046.3717834255135</v>
      </c>
      <c r="AB83" s="22" t="s">
        <v>653</v>
      </c>
      <c r="AC83" s="677">
        <f>(SUM(M11:Y11)+AG12*A87%+SUM(M16:Y16)+SUM(M17:Y17)+SUM(M18:Y18)+SUM(M19:Y19)+SUM(M22:Y22)+SUM(M61:Y61)+SUM(M62:Y62)+SUM(M63:Y63)+SUM(M65:Y65)+SUM(M66:Y66)+SUM(M67:Y67)+SUM(M68:Y68)+SUM(M69:Y69)+SUM(M71:Y71)+SUM(M72:Y72)+SUM(M73:Y73)+SUM(M75:Y75)+SUM(M76:Y76)+SUM(M77:Y77)+SUM(M79:Y79)+SUM(M80:Y80)+SUM(M23:Y23)*(AC23%+AE23%)+SUM(M24:Y24)*(AC24%+AE24%)+SUM(M25:Y25)*(AC25%+AE25%)+SUM(M26:Y26)*(AC26%+AE26%)+SUM(M28:Y28)*(AC28%+AD28%+AE28%)+SUM(M27:Y27)*(AD27%)+SUM(M29:Y29)*(AC29%+AE29%)+SUM(M30:Y30)*(AC30%+AE30%)+SUM(M31:Y31)*(AC31%+AE31%)+SUM(M34:Y34)*(AC34%+AE34%)+SUM(M35:Y35)*(AC35%+AE35%)+SUM(M37:Y37)*(AC37%+AE37%)+SUM(M38:Y38)*(AC38%+AE38%)+SUM(M39:Y39)*(AC39%+AE39%)+SUM(M41:Y41)*(AC41%+AE41%)+SUM(M42:Y42)*(AC42%+AE42%)+SUM(M44:Y44)*(AC44%+AE44%)+SUM(M45:Y45)*(AC45%+AE45%)+SUM(M46:Y46)*(AC47%+AE47%)+SUM(M48:Y48)*(AC48%+AE48%)+SUM(M49:Y49)*(AC49%+AE49%)+SUM(M50:Y50)*(AC50%+AE50%)+SUM(M52:Y52)*(AC52%+AE52%)+SUM(M53:Y53)*(AC53%+AE53%)+SUM(M54:Y54)*(AC54%+AE54%))/(SUM(AA8:AA11)+SUM(AA13:AA22)+SUM(AA61:AA80)+(AJ33/AF33%+AJ36/AF36%+AJ43/AF43%+AJ51/AF51%+AJ60/AF60%)+AH81+SUM(AH8:AH11)*(1-D2%)+(-AI56))*100</f>
        <v>50.983162619591091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tr">
        <f>IF(M83&gt;0,M81/M83*100,"")</f>
        <v/>
      </c>
      <c r="N84" s="44" t="str">
        <f t="shared" ref="N84:Z84" si="27">IF(N83&gt;0,N81/N83*100,"")</f>
        <v/>
      </c>
      <c r="O84" s="44" t="str">
        <f t="shared" si="27"/>
        <v/>
      </c>
      <c r="P84" s="44" t="str">
        <f t="shared" si="27"/>
        <v/>
      </c>
      <c r="Q84" s="44" t="str">
        <f t="shared" si="27"/>
        <v/>
      </c>
      <c r="R84" s="44">
        <f t="shared" si="27"/>
        <v>36.332585034013604</v>
      </c>
      <c r="S84" s="44">
        <f t="shared" si="27"/>
        <v>15.637476022943526</v>
      </c>
      <c r="T84" s="44">
        <f t="shared" si="27"/>
        <v>25.089136842105258</v>
      </c>
      <c r="U84" s="44">
        <f t="shared" si="27"/>
        <v>141.50382204482665</v>
      </c>
      <c r="V84" s="44" t="str">
        <f t="shared" si="27"/>
        <v/>
      </c>
      <c r="W84" s="44" t="str">
        <f t="shared" si="27"/>
        <v/>
      </c>
      <c r="X84" s="44" t="str">
        <f t="shared" si="27"/>
        <v/>
      </c>
      <c r="Y84" s="44" t="str">
        <f>IF(Y83&gt;0,Y81/Y83*100,"")</f>
        <v/>
      </c>
      <c r="Z84" s="44" t="str">
        <f t="shared" si="27"/>
        <v/>
      </c>
      <c r="AA84" s="45">
        <f>SUMIF(M83:Z83,"&gt;0",M81:Z81)/SUM(M83:Z83)%</f>
        <v>44.702686664514637</v>
      </c>
      <c r="AB84" s="46" t="s">
        <v>12</v>
      </c>
      <c r="AC84" s="151">
        <f>SUM(M81:Y81)/AA81*100</f>
        <v>52.680777314345661</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tr">
        <f t="shared" ref="B86:I86" si="28">B7</f>
        <v xml:space="preserve">  LPG og petroleum</v>
      </c>
      <c r="C86" s="754" t="str">
        <f t="shared" si="28"/>
        <v xml:space="preserve">  Kul</v>
      </c>
      <c r="D86" s="754" t="str">
        <f t="shared" si="28"/>
        <v xml:space="preserve">  Fuelolie</v>
      </c>
      <c r="E86" s="754" t="str">
        <f t="shared" si="28"/>
        <v xml:space="preserve">  Brændselsolie</v>
      </c>
      <c r="F86" s="754" t="str">
        <f t="shared" si="28"/>
        <v xml:space="preserve">  Dieselolie</v>
      </c>
      <c r="G86" s="754" t="str">
        <f t="shared" si="28"/>
        <v xml:space="preserve">  JP1</v>
      </c>
      <c r="H86" s="754" t="str">
        <f t="shared" si="28"/>
        <v xml:space="preserve">  Benzin</v>
      </c>
      <c r="I86" s="754" t="str">
        <f t="shared" si="28"/>
        <v xml:space="preserve">  Naturgas</v>
      </c>
      <c r="J86" s="673"/>
      <c r="K86" s="673"/>
      <c r="L86" s="673"/>
      <c r="M86" s="754" t="str">
        <f t="shared" ref="M86:Z86" si="29">M7</f>
        <v xml:space="preserve">  Vindenergi</v>
      </c>
      <c r="N86" s="754" t="str">
        <f t="shared" si="29"/>
        <v xml:space="preserve">  Vandenergi</v>
      </c>
      <c r="O86" s="754" t="str">
        <f t="shared" si="29"/>
        <v xml:space="preserve">  Solenergi</v>
      </c>
      <c r="P86" s="754" t="str">
        <f t="shared" si="29"/>
        <v xml:space="preserve">  Geotermi</v>
      </c>
      <c r="Q86" s="754" t="str">
        <f t="shared" si="29"/>
        <v xml:space="preserve">  Varmekilder til varmepumper</v>
      </c>
      <c r="R86" s="754" t="str">
        <f t="shared" si="29"/>
        <v xml:space="preserve">  Husdyrsgødning</v>
      </c>
      <c r="S86" s="754" t="str">
        <f t="shared" si="29"/>
        <v xml:space="preserve">  Biobrændstof og energiafgrøder</v>
      </c>
      <c r="T86" s="754" t="str">
        <f t="shared" si="29"/>
        <v xml:space="preserve">  Halm</v>
      </c>
      <c r="U86" s="754" t="str">
        <f t="shared" si="29"/>
        <v xml:space="preserve">  Brænde og træflis</v>
      </c>
      <c r="V86" s="754" t="str">
        <f t="shared" si="29"/>
        <v xml:space="preserve">  Træpiller og træaffald</v>
      </c>
      <c r="W86" s="754" t="str">
        <f t="shared" si="29"/>
        <v xml:space="preserve">  Organisk affald, industri</v>
      </c>
      <c r="X86" s="754" t="str">
        <f t="shared" si="29"/>
        <v xml:space="preserve">  Organisk affald, husholdninger</v>
      </c>
      <c r="Y86" s="754" t="str">
        <f t="shared" si="29"/>
        <v xml:space="preserve">  Deponi, slam, renseanlæg</v>
      </c>
      <c r="Z86" s="757" t="str">
        <f t="shared" si="29"/>
        <v xml:space="preserve">  Affald, ikke bionedbrydeligt</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44</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124.12</v>
      </c>
      <c r="B89" s="186">
        <v>64.8</v>
      </c>
      <c r="C89" s="186">
        <v>94.2</v>
      </c>
      <c r="D89" s="186">
        <v>79.03</v>
      </c>
      <c r="E89" s="186">
        <v>74.099999999999994</v>
      </c>
      <c r="F89" s="186">
        <f>E89</f>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31917-38FC-459E-B4FD-CA4A2B6BB660}">
  <sheetPr codeName="Ark5">
    <tabColor theme="3" tint="0.59999389629810485"/>
    <pageSetUpPr fitToPage="1"/>
  </sheetPr>
  <dimension ref="A1:AY95"/>
  <sheetViews>
    <sheetView showGridLines="0" showZeros="0" zoomScale="85" zoomScaleNormal="85" workbookViewId="0">
      <selection activeCell="G3" sqref="G3"/>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46540</v>
      </c>
      <c r="E1" s="762"/>
      <c r="F1" s="10"/>
      <c r="G1" s="10"/>
      <c r="H1" s="10"/>
      <c r="I1" s="10"/>
      <c r="J1" s="10"/>
      <c r="K1" s="10"/>
      <c r="L1" s="10"/>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91.84</v>
      </c>
      <c r="E2" s="161" t="s">
        <v>18</v>
      </c>
      <c r="F2" s="10"/>
      <c r="G2" s="10"/>
      <c r="H2" s="162"/>
      <c r="I2" s="10"/>
      <c r="J2" s="10"/>
      <c r="K2" s="10"/>
      <c r="L2" s="10"/>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64" t="s">
        <v>664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f t="shared" ref="AA8:AA80" si="0">SUM(A8:Z8)</f>
        <v>0</v>
      </c>
      <c r="AB8" s="128" t="s">
        <v>183</v>
      </c>
      <c r="AC8" s="19"/>
      <c r="AD8" s="24">
        <v>85.412706520064702</v>
      </c>
      <c r="AE8" s="20"/>
      <c r="AF8" s="21"/>
      <c r="AG8" s="19">
        <f t="shared" ref="AG8:AG11" si="1">-AH8/$D$2%</f>
        <v>-1019.4893778612437</v>
      </c>
      <c r="AH8" s="25">
        <f>AK8/AD8%</f>
        <v>936.29904462776619</v>
      </c>
      <c r="AI8" s="33"/>
      <c r="AJ8" s="25"/>
      <c r="AK8" s="158">
        <f t="shared" ref="AK8:AK11" si="2">SUM(AL8:AT8)</f>
        <v>799.71835513808367</v>
      </c>
      <c r="AL8" s="153">
        <v>221.7046619083066</v>
      </c>
      <c r="AM8" s="153">
        <v>109.42457971164993</v>
      </c>
      <c r="AN8" s="153">
        <v>72.330583873354001</v>
      </c>
      <c r="AO8" s="153">
        <v>79.50725171674803</v>
      </c>
      <c r="AP8" s="153">
        <v>7.2480498207083013</v>
      </c>
      <c r="AQ8" s="153">
        <v>188.96340825985286</v>
      </c>
      <c r="AR8" s="153">
        <v>4.8204976008535212</v>
      </c>
      <c r="AS8" s="153">
        <v>114.21932224661042</v>
      </c>
      <c r="AT8" s="8">
        <v>1.5</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f t="shared" si="0"/>
        <v>0</v>
      </c>
      <c r="AB9" s="128" t="s">
        <v>2</v>
      </c>
      <c r="AC9" s="19"/>
      <c r="AD9" s="20"/>
      <c r="AE9" s="20">
        <v>90</v>
      </c>
      <c r="AF9" s="21"/>
      <c r="AG9" s="19">
        <f t="shared" si="1"/>
        <v>-6.4121176926054968</v>
      </c>
      <c r="AH9" s="25">
        <f>AK9/AE9%</f>
        <v>5.8888888888888884</v>
      </c>
      <c r="AI9" s="33"/>
      <c r="AJ9" s="25"/>
      <c r="AK9" s="158">
        <f t="shared" si="2"/>
        <v>5.3</v>
      </c>
      <c r="AL9" s="157">
        <v>5.3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f t="shared" si="0"/>
        <v>0</v>
      </c>
      <c r="AB10" s="128" t="s">
        <v>3</v>
      </c>
      <c r="AC10" s="19"/>
      <c r="AD10" s="20"/>
      <c r="AE10" s="20">
        <v>100</v>
      </c>
      <c r="AF10" s="21"/>
      <c r="AG10" s="19">
        <f t="shared" si="1"/>
        <v>-27.112369337979093</v>
      </c>
      <c r="AH10" s="25">
        <f>AK10/AE10%</f>
        <v>24.9</v>
      </c>
      <c r="AI10" s="33"/>
      <c r="AJ10" s="25"/>
      <c r="AK10" s="158">
        <f t="shared" si="2"/>
        <v>24.9</v>
      </c>
      <c r="AL10" s="157">
        <v>24.9</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f>AK11-AH11</f>
        <v>9.3999999999999986</v>
      </c>
      <c r="R11" s="20"/>
      <c r="S11" s="20"/>
      <c r="T11" s="20"/>
      <c r="U11" s="20"/>
      <c r="V11" s="20"/>
      <c r="W11" s="20"/>
      <c r="X11" s="20"/>
      <c r="Y11" s="20"/>
      <c r="Z11" s="20"/>
      <c r="AA11" s="21">
        <f t="shared" si="0"/>
        <v>9.3999999999999986</v>
      </c>
      <c r="AB11" s="128" t="s">
        <v>23</v>
      </c>
      <c r="AC11" s="19"/>
      <c r="AD11" s="20"/>
      <c r="AE11" s="20">
        <v>300</v>
      </c>
      <c r="AF11" s="21"/>
      <c r="AG11" s="19">
        <f t="shared" si="1"/>
        <v>-5.1175958188153317</v>
      </c>
      <c r="AH11" s="156">
        <f>AK11/AE11%</f>
        <v>4.7</v>
      </c>
      <c r="AI11" s="33"/>
      <c r="AJ11" s="25"/>
      <c r="AK11" s="158">
        <f t="shared" si="2"/>
        <v>14.1</v>
      </c>
      <c r="AL11" s="699">
        <v>14.1</v>
      </c>
      <c r="AM11" s="24"/>
      <c r="AN11" s="24"/>
      <c r="AO11" s="24"/>
      <c r="AP11" s="24"/>
      <c r="AQ11" s="24"/>
      <c r="AR11" s="24"/>
      <c r="AS11" s="24"/>
      <c r="AT11" s="25"/>
    </row>
    <row r="12" spans="1:51" ht="15" customHeight="1" x14ac:dyDescent="0.2">
      <c r="A12" s="155">
        <f>AC12%*AG12</f>
        <v>-188.86813638540309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f t="shared" si="0"/>
        <v>-188.86813638540309</v>
      </c>
      <c r="AB12" s="128" t="s">
        <v>10</v>
      </c>
      <c r="AC12" s="19">
        <v>100</v>
      </c>
      <c r="AD12" s="20"/>
      <c r="AE12" s="20"/>
      <c r="AF12" s="21"/>
      <c r="AG12" s="19">
        <f>-SUM(AG13:AG80,AG8:AG11)</f>
        <v>-188.86813638540309</v>
      </c>
      <c r="AH12" s="169"/>
      <c r="AI12" s="170"/>
      <c r="AJ12" s="169"/>
      <c r="AK12" s="171">
        <f t="shared" ref="AK12:AK43" si="3">SUM(AL12:AT12)</f>
        <v>0</v>
      </c>
      <c r="AL12" s="170"/>
      <c r="AM12" s="174"/>
      <c r="AN12" s="174"/>
      <c r="AO12" s="174"/>
      <c r="AP12" s="174"/>
      <c r="AQ12" s="174"/>
      <c r="AR12" s="174"/>
      <c r="AS12" s="174"/>
      <c r="AT12" s="169"/>
    </row>
    <row r="13" spans="1:51" ht="15" customHeight="1" x14ac:dyDescent="0.2">
      <c r="A13" s="176"/>
      <c r="B13" s="153">
        <v>20.399999999999999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f t="shared" si="0"/>
        <v>20.399999999999999</v>
      </c>
      <c r="AB13" s="178" t="s">
        <v>29</v>
      </c>
      <c r="AC13" s="26"/>
      <c r="AD13" s="28"/>
      <c r="AE13" s="177">
        <v>38</v>
      </c>
      <c r="AF13" s="29"/>
      <c r="AG13" s="26"/>
      <c r="AH13" s="29"/>
      <c r="AI13" s="26"/>
      <c r="AJ13" s="29"/>
      <c r="AK13" s="22">
        <f t="shared" si="3"/>
        <v>7.7519999999999989</v>
      </c>
      <c r="AL13" s="188">
        <f>AA13*AE13%*20%</f>
        <v>1.5504</v>
      </c>
      <c r="AM13" s="179"/>
      <c r="AN13" s="179"/>
      <c r="AO13" s="179"/>
      <c r="AP13" s="179"/>
      <c r="AQ13" s="179">
        <f>AA13*AE13%*60%</f>
        <v>4.6511999999999993</v>
      </c>
      <c r="AR13" s="179"/>
      <c r="AS13" s="179"/>
      <c r="AT13" s="189">
        <f>AA13*AE13%*20%</f>
        <v>1.5504</v>
      </c>
    </row>
    <row r="14" spans="1:51" ht="15" customHeight="1" x14ac:dyDescent="0.2">
      <c r="A14" s="19"/>
      <c r="B14" s="174"/>
      <c r="C14" s="20"/>
      <c r="D14" s="20"/>
      <c r="E14" s="153">
        <v>145</v>
      </c>
      <c r="F14" s="174"/>
      <c r="G14" s="174"/>
      <c r="H14" s="174"/>
      <c r="I14" s="174"/>
      <c r="J14" s="24"/>
      <c r="K14" s="24"/>
      <c r="L14" s="24"/>
      <c r="M14" s="20"/>
      <c r="N14" s="20"/>
      <c r="O14" s="20"/>
      <c r="P14" s="20"/>
      <c r="Q14" s="174"/>
      <c r="R14" s="174"/>
      <c r="S14" s="174"/>
      <c r="T14" s="174"/>
      <c r="U14" s="174"/>
      <c r="V14" s="174"/>
      <c r="W14" s="174"/>
      <c r="X14" s="174"/>
      <c r="Y14" s="174"/>
      <c r="Z14" s="174"/>
      <c r="AA14" s="21">
        <f t="shared" si="0"/>
        <v>145</v>
      </c>
      <c r="AB14" s="128" t="s">
        <v>215</v>
      </c>
      <c r="AC14" s="19"/>
      <c r="AD14" s="20"/>
      <c r="AE14" s="174">
        <v>80</v>
      </c>
      <c r="AF14" s="21"/>
      <c r="AG14" s="19"/>
      <c r="AH14" s="21"/>
      <c r="AI14" s="19"/>
      <c r="AJ14" s="21"/>
      <c r="AK14" s="22">
        <f t="shared" si="3"/>
        <v>116</v>
      </c>
      <c r="AL14" s="30">
        <f t="shared" ref="AL14:AL19" si="4">AA14*AE14%</f>
        <v>116</v>
      </c>
      <c r="AM14" s="20"/>
      <c r="AN14" s="20"/>
      <c r="AO14" s="20"/>
      <c r="AP14" s="20"/>
      <c r="AQ14" s="20"/>
      <c r="AR14" s="20"/>
      <c r="AS14" s="20"/>
      <c r="AT14" s="21"/>
      <c r="AY14" s="23"/>
    </row>
    <row r="15" spans="1:51" ht="15" customHeight="1" x14ac:dyDescent="0.2">
      <c r="A15" s="19"/>
      <c r="B15" s="174"/>
      <c r="C15" s="20"/>
      <c r="D15" s="20"/>
      <c r="E15" s="174"/>
      <c r="F15" s="174"/>
      <c r="G15" s="174"/>
      <c r="H15" s="174"/>
      <c r="I15" s="153">
        <v>309.8</v>
      </c>
      <c r="J15" s="153"/>
      <c r="K15" s="153"/>
      <c r="L15" s="153"/>
      <c r="M15" s="20"/>
      <c r="N15" s="20"/>
      <c r="O15" s="20"/>
      <c r="P15" s="20"/>
      <c r="Q15" s="174"/>
      <c r="R15" s="174"/>
      <c r="S15" s="174"/>
      <c r="T15" s="174"/>
      <c r="U15" s="174"/>
      <c r="V15" s="174"/>
      <c r="W15" s="174"/>
      <c r="X15" s="174"/>
      <c r="Y15" s="174"/>
      <c r="Z15" s="174"/>
      <c r="AA15" s="21">
        <f t="shared" si="0"/>
        <v>309.8</v>
      </c>
      <c r="AB15" s="128" t="s">
        <v>216</v>
      </c>
      <c r="AC15" s="19"/>
      <c r="AD15" s="20"/>
      <c r="AE15" s="174">
        <v>85</v>
      </c>
      <c r="AF15" s="21"/>
      <c r="AG15" s="19"/>
      <c r="AH15" s="21"/>
      <c r="AI15" s="19"/>
      <c r="AJ15" s="21"/>
      <c r="AK15" s="22">
        <f t="shared" si="3"/>
        <v>263.33</v>
      </c>
      <c r="AL15" s="30">
        <f t="shared" si="4"/>
        <v>263.33</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402</v>
      </c>
      <c r="W16" s="174"/>
      <c r="X16" s="174"/>
      <c r="Y16" s="174"/>
      <c r="Z16" s="174"/>
      <c r="AA16" s="21">
        <f t="shared" si="0"/>
        <v>402</v>
      </c>
      <c r="AB16" s="128" t="s">
        <v>217</v>
      </c>
      <c r="AC16" s="19"/>
      <c r="AD16" s="20"/>
      <c r="AE16" s="174">
        <v>75</v>
      </c>
      <c r="AF16" s="21"/>
      <c r="AG16" s="19"/>
      <c r="AH16" s="21"/>
      <c r="AI16" s="19"/>
      <c r="AJ16" s="21"/>
      <c r="AK16" s="22">
        <f t="shared" si="3"/>
        <v>301.5</v>
      </c>
      <c r="AL16" s="30">
        <f t="shared" si="4"/>
        <v>301.5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460</v>
      </c>
      <c r="V17" s="2"/>
      <c r="W17" s="174"/>
      <c r="X17" s="174"/>
      <c r="Y17" s="174"/>
      <c r="Z17" s="174"/>
      <c r="AA17" s="21">
        <f t="shared" si="0"/>
        <v>460</v>
      </c>
      <c r="AB17" s="128" t="s">
        <v>218</v>
      </c>
      <c r="AC17" s="19"/>
      <c r="AD17" s="20"/>
      <c r="AE17" s="174">
        <v>65</v>
      </c>
      <c r="AF17" s="21"/>
      <c r="AG17" s="19"/>
      <c r="AH17" s="21"/>
      <c r="AI17" s="19"/>
      <c r="AJ17" s="21"/>
      <c r="AK17" s="22">
        <f t="shared" si="3"/>
        <v>299</v>
      </c>
      <c r="AL17" s="30">
        <f t="shared" si="4"/>
        <v>299</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75</v>
      </c>
      <c r="U18" s="2"/>
      <c r="V18" s="2"/>
      <c r="W18" s="174"/>
      <c r="X18" s="174"/>
      <c r="Y18" s="174"/>
      <c r="Z18" s="174"/>
      <c r="AA18" s="21">
        <f t="shared" si="0"/>
        <v>75</v>
      </c>
      <c r="AB18" s="128" t="s">
        <v>219</v>
      </c>
      <c r="AC18" s="19"/>
      <c r="AD18" s="20"/>
      <c r="AE18" s="174">
        <v>65</v>
      </c>
      <c r="AF18" s="21"/>
      <c r="AG18" s="19"/>
      <c r="AH18" s="21"/>
      <c r="AI18" s="19"/>
      <c r="AJ18" s="21"/>
      <c r="AK18" s="22">
        <f t="shared" si="3"/>
        <v>48.75</v>
      </c>
      <c r="AL18" s="30">
        <f t="shared" si="4"/>
        <v>48.75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7.7</v>
      </c>
      <c r="P19" s="20"/>
      <c r="Q19" s="174"/>
      <c r="R19" s="174"/>
      <c r="S19" s="174"/>
      <c r="T19" s="174"/>
      <c r="U19" s="174"/>
      <c r="V19" s="174"/>
      <c r="W19" s="174"/>
      <c r="X19" s="174"/>
      <c r="Y19" s="174"/>
      <c r="Z19" s="174"/>
      <c r="AA19" s="21">
        <f t="shared" si="0"/>
        <v>7.7</v>
      </c>
      <c r="AB19" s="128" t="s">
        <v>220</v>
      </c>
      <c r="AC19" s="19"/>
      <c r="AD19" s="20"/>
      <c r="AE19" s="20">
        <v>100</v>
      </c>
      <c r="AF19" s="21"/>
      <c r="AG19" s="19"/>
      <c r="AH19" s="21"/>
      <c r="AI19" s="19"/>
      <c r="AJ19" s="21"/>
      <c r="AK19" s="22">
        <f t="shared" si="3"/>
        <v>7.7</v>
      </c>
      <c r="AL19" s="30">
        <f t="shared" si="4"/>
        <v>7.7</v>
      </c>
      <c r="AM19" s="20"/>
      <c r="AN19" s="20"/>
      <c r="AO19" s="20"/>
      <c r="AP19" s="20"/>
      <c r="AQ19" s="20"/>
      <c r="AR19" s="20"/>
      <c r="AS19" s="20"/>
      <c r="AT19" s="21"/>
      <c r="AY19" s="23"/>
    </row>
    <row r="20" spans="1:51" ht="15" customHeight="1" x14ac:dyDescent="0.2">
      <c r="A20" s="19"/>
      <c r="B20" s="20"/>
      <c r="C20" s="174"/>
      <c r="D20" s="174"/>
      <c r="E20" s="153">
        <v>4.5</v>
      </c>
      <c r="F20" s="174"/>
      <c r="G20" s="174"/>
      <c r="H20" s="174"/>
      <c r="I20" s="2"/>
      <c r="J20" s="2"/>
      <c r="K20" s="2"/>
      <c r="L20" s="2"/>
      <c r="M20" s="174"/>
      <c r="N20" s="174"/>
      <c r="O20" s="174"/>
      <c r="P20" s="174"/>
      <c r="Q20" s="174"/>
      <c r="R20" s="174"/>
      <c r="S20" s="174"/>
      <c r="T20" s="174"/>
      <c r="U20" s="174"/>
      <c r="V20" s="174"/>
      <c r="W20" s="174"/>
      <c r="X20" s="174"/>
      <c r="Y20" s="174"/>
      <c r="Z20" s="174"/>
      <c r="AA20" s="21">
        <f t="shared" si="0"/>
        <v>4.5</v>
      </c>
      <c r="AB20" s="128" t="s">
        <v>24</v>
      </c>
      <c r="AC20" s="19"/>
      <c r="AD20" s="20">
        <v>90</v>
      </c>
      <c r="AE20" s="20"/>
      <c r="AF20" s="21"/>
      <c r="AG20" s="19"/>
      <c r="AH20" s="21"/>
      <c r="AI20" s="19"/>
      <c r="AJ20" s="21"/>
      <c r="AK20" s="22">
        <f t="shared" si="3"/>
        <v>4.05</v>
      </c>
      <c r="AL20" s="30"/>
      <c r="AM20" s="20"/>
      <c r="AN20" s="20"/>
      <c r="AO20" s="20"/>
      <c r="AP20" s="20"/>
      <c r="AQ20" s="20">
        <f>AA20*AD20%</f>
        <v>4.05</v>
      </c>
      <c r="AR20" s="20"/>
      <c r="AS20" s="20"/>
      <c r="AT20" s="21"/>
      <c r="AV20" s="23"/>
    </row>
    <row r="21" spans="1:51" ht="15" customHeight="1" x14ac:dyDescent="0.2">
      <c r="A21" s="19"/>
      <c r="B21" s="20"/>
      <c r="C21" s="174"/>
      <c r="D21" s="174"/>
      <c r="E21" s="174"/>
      <c r="F21" s="174"/>
      <c r="G21" s="174"/>
      <c r="H21" s="174"/>
      <c r="I21" s="153">
        <v>742.1</v>
      </c>
      <c r="J21" s="153"/>
      <c r="K21" s="153"/>
      <c r="L21" s="153"/>
      <c r="M21" s="174"/>
      <c r="N21" s="174"/>
      <c r="O21" s="174"/>
      <c r="P21" s="174"/>
      <c r="Q21" s="174"/>
      <c r="R21" s="174"/>
      <c r="S21" s="174"/>
      <c r="T21" s="174"/>
      <c r="U21" s="174"/>
      <c r="V21" s="174"/>
      <c r="W21" s="174"/>
      <c r="X21" s="174"/>
      <c r="Y21" s="174"/>
      <c r="Z21" s="174"/>
      <c r="AA21" s="21">
        <f t="shared" si="0"/>
        <v>742.1</v>
      </c>
      <c r="AB21" s="128" t="s">
        <v>25</v>
      </c>
      <c r="AC21" s="19"/>
      <c r="AD21" s="20">
        <v>90</v>
      </c>
      <c r="AE21" s="20"/>
      <c r="AF21" s="21"/>
      <c r="AG21" s="19"/>
      <c r="AH21" s="21"/>
      <c r="AI21" s="19"/>
      <c r="AJ21" s="21"/>
      <c r="AK21" s="22">
        <f t="shared" si="3"/>
        <v>667.89</v>
      </c>
      <c r="AL21" s="30"/>
      <c r="AM21" s="20"/>
      <c r="AN21" s="20"/>
      <c r="AO21" s="20"/>
      <c r="AP21" s="20"/>
      <c r="AQ21" s="20">
        <f>AA21*AD21%</f>
        <v>667.89</v>
      </c>
      <c r="AR21" s="20"/>
      <c r="AS21" s="20"/>
      <c r="AT21" s="21"/>
      <c r="AV21" s="23"/>
    </row>
    <row r="22" spans="1:51" ht="15" customHeight="1" x14ac:dyDescent="0.2">
      <c r="A22" s="19"/>
      <c r="B22" s="20"/>
      <c r="C22" s="153">
        <v>0</v>
      </c>
      <c r="D22" s="153">
        <v>8.6999999999999993</v>
      </c>
      <c r="E22" s="153">
        <v>0</v>
      </c>
      <c r="F22" s="153">
        <v>0</v>
      </c>
      <c r="G22" s="2"/>
      <c r="H22" s="153">
        <v>0</v>
      </c>
      <c r="I22" s="153">
        <v>0</v>
      </c>
      <c r="J22" s="2"/>
      <c r="K22" s="2"/>
      <c r="L22" s="2"/>
      <c r="M22" s="2"/>
      <c r="N22" s="2"/>
      <c r="O22" s="2"/>
      <c r="P22" s="2"/>
      <c r="Q22" s="2"/>
      <c r="R22" s="153">
        <v>0</v>
      </c>
      <c r="S22" s="153">
        <v>0</v>
      </c>
      <c r="T22" s="153">
        <v>0</v>
      </c>
      <c r="U22" s="153">
        <v>0</v>
      </c>
      <c r="V22" s="153">
        <v>7.8</v>
      </c>
      <c r="W22" s="153">
        <v>0</v>
      </c>
      <c r="X22" s="153">
        <v>0</v>
      </c>
      <c r="Y22" s="153">
        <v>0</v>
      </c>
      <c r="Z22" s="153">
        <v>0.1</v>
      </c>
      <c r="AA22" s="21">
        <f t="shared" si="0"/>
        <v>16.600000000000001</v>
      </c>
      <c r="AB22" s="128" t="s">
        <v>637</v>
      </c>
      <c r="AC22" s="19"/>
      <c r="AD22" s="20">
        <v>90</v>
      </c>
      <c r="AE22" s="20"/>
      <c r="AF22" s="21"/>
      <c r="AG22" s="19"/>
      <c r="AH22" s="21"/>
      <c r="AI22" s="19"/>
      <c r="AJ22" s="21"/>
      <c r="AK22" s="22">
        <f t="shared" si="3"/>
        <v>14.940000000000001</v>
      </c>
      <c r="AL22" s="175"/>
      <c r="AM22" s="174"/>
      <c r="AN22" s="174"/>
      <c r="AO22" s="174"/>
      <c r="AP22" s="174"/>
      <c r="AQ22" s="174">
        <f>AA22*AD22%</f>
        <v>14.940000000000001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41.3</v>
      </c>
      <c r="P23" s="174"/>
      <c r="Q23" s="174"/>
      <c r="R23" s="174"/>
      <c r="S23" s="174"/>
      <c r="T23" s="174"/>
      <c r="U23" s="174"/>
      <c r="V23" s="174"/>
      <c r="W23" s="174"/>
      <c r="X23" s="174"/>
      <c r="Y23" s="174"/>
      <c r="Z23" s="174"/>
      <c r="AA23" s="21">
        <f t="shared" si="0"/>
        <v>41.3</v>
      </c>
      <c r="AB23" s="128" t="s">
        <v>14</v>
      </c>
      <c r="AC23" s="20">
        <v>100</v>
      </c>
      <c r="AD23" s="20"/>
      <c r="AE23" s="20"/>
      <c r="AF23" s="21"/>
      <c r="AG23" s="19">
        <f>AA23*AC23/100</f>
        <v>41.3</v>
      </c>
      <c r="AH23" s="21"/>
      <c r="AI23" s="19"/>
      <c r="AJ23" s="21"/>
      <c r="AK23" s="22">
        <f t="shared" si="3"/>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1026.5999999999999</v>
      </c>
      <c r="N24" s="174"/>
      <c r="O24" s="174"/>
      <c r="P24" s="174"/>
      <c r="Q24" s="174"/>
      <c r="R24" s="174"/>
      <c r="S24" s="174"/>
      <c r="T24" s="174"/>
      <c r="U24" s="174"/>
      <c r="V24" s="174"/>
      <c r="W24" s="174"/>
      <c r="X24" s="174"/>
      <c r="Y24" s="174"/>
      <c r="Z24" s="174"/>
      <c r="AA24" s="21">
        <f t="shared" si="0"/>
        <v>1026.5999999999999</v>
      </c>
      <c r="AB24" s="128" t="s">
        <v>26</v>
      </c>
      <c r="AC24" s="20">
        <v>100</v>
      </c>
      <c r="AD24" s="20"/>
      <c r="AE24" s="20"/>
      <c r="AF24" s="21"/>
      <c r="AG24" s="19">
        <f>AC24*AA24/100</f>
        <v>1026.5999999999999</v>
      </c>
      <c r="AH24" s="21"/>
      <c r="AI24" s="19"/>
      <c r="AJ24" s="21"/>
      <c r="AK24" s="22">
        <f t="shared" si="3"/>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f t="shared" si="0"/>
        <v>0</v>
      </c>
      <c r="AB25" s="128" t="s">
        <v>75</v>
      </c>
      <c r="AC25" s="170">
        <v>100</v>
      </c>
      <c r="AD25" s="174"/>
      <c r="AE25" s="174"/>
      <c r="AF25" s="169"/>
      <c r="AG25" s="170">
        <f>AC25*AA25/100</f>
        <v>0</v>
      </c>
      <c r="AH25" s="169"/>
      <c r="AI25" s="19"/>
      <c r="AJ25" s="21"/>
      <c r="AK25" s="22">
        <f t="shared" si="3"/>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f t="shared" si="0"/>
        <v>0</v>
      </c>
      <c r="AB26" s="128" t="s">
        <v>638</v>
      </c>
      <c r="AC26" s="153">
        <v>100</v>
      </c>
      <c r="AD26" s="174"/>
      <c r="AE26" s="174"/>
      <c r="AF26" s="169"/>
      <c r="AG26" s="170">
        <f>AC26*AA26/100</f>
        <v>0</v>
      </c>
      <c r="AH26" s="169"/>
      <c r="AI26" s="19"/>
      <c r="AJ26" s="21"/>
      <c r="AK26" s="22">
        <f t="shared" si="3"/>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-324.41999999999996</v>
      </c>
      <c r="J27" s="153"/>
      <c r="K27" s="153"/>
      <c r="L27" s="153"/>
      <c r="M27" s="174"/>
      <c r="N27" s="174"/>
      <c r="O27" s="174"/>
      <c r="P27" s="174"/>
      <c r="Q27" s="174"/>
      <c r="R27" s="24">
        <f>-(I27*33.3%)/AD27%</f>
        <v>108.03185999999998</v>
      </c>
      <c r="S27" s="24">
        <f>-(I27*10.5%)/AD27%</f>
        <v>34.064099999999996</v>
      </c>
      <c r="T27" s="24">
        <f>-(I27*6.6%)/AD27%</f>
        <v>21.411719999999999</v>
      </c>
      <c r="U27" s="24"/>
      <c r="V27" s="24"/>
      <c r="W27" s="24">
        <f>-(I27*49.6%)/AD27%</f>
        <v>160.91231999999997</v>
      </c>
      <c r="X27" s="172"/>
      <c r="Y27" s="172"/>
      <c r="Z27" s="172"/>
      <c r="AA27" s="21">
        <f t="shared" si="0"/>
        <v>0</v>
      </c>
      <c r="AB27" s="129" t="s">
        <v>174</v>
      </c>
      <c r="AC27" s="180"/>
      <c r="AD27" s="172">
        <v>100</v>
      </c>
      <c r="AE27" s="172"/>
      <c r="AF27" s="173"/>
      <c r="AG27" s="181"/>
      <c r="AH27" s="173"/>
      <c r="AI27" s="6"/>
      <c r="AJ27" s="7"/>
      <c r="AK27" s="22">
        <f t="shared" si="3"/>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f>AA28*46%</f>
        <v>0</v>
      </c>
      <c r="S28" s="2"/>
      <c r="T28" s="2"/>
      <c r="U28" s="2"/>
      <c r="V28" s="2"/>
      <c r="W28" s="153">
        <f>AA28*54%</f>
        <v>0</v>
      </c>
      <c r="X28" s="172"/>
      <c r="Y28" s="172"/>
      <c r="Z28" s="172"/>
      <c r="AA28" s="25">
        <v>0</v>
      </c>
      <c r="AB28" s="129" t="s">
        <v>173</v>
      </c>
      <c r="AC28" s="153">
        <v>34.200000000000003</v>
      </c>
      <c r="AD28" s="2"/>
      <c r="AE28" s="172"/>
      <c r="AF28" s="173"/>
      <c r="AG28" s="170">
        <f>AA28*AC28/100</f>
        <v>0</v>
      </c>
      <c r="AH28" s="169"/>
      <c r="AI28" s="170">
        <f>AA28*AE28/100</f>
        <v>0</v>
      </c>
      <c r="AJ28" s="169"/>
      <c r="AK28" s="22">
        <f t="shared" si="3"/>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f t="shared" si="0"/>
        <v>0</v>
      </c>
      <c r="AB29" s="129" t="s">
        <v>184</v>
      </c>
      <c r="AC29" s="155">
        <v>0</v>
      </c>
      <c r="AD29" s="172"/>
      <c r="AE29" s="153">
        <v>0</v>
      </c>
      <c r="AF29" s="169"/>
      <c r="AG29" s="170">
        <f>AA29*AC29/100</f>
        <v>0</v>
      </c>
      <c r="AH29" s="169"/>
      <c r="AI29" s="19">
        <f>AA29*AE29/100</f>
        <v>0</v>
      </c>
      <c r="AJ29" s="21"/>
      <c r="AK29" s="22">
        <f t="shared" si="3"/>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f t="shared" si="0"/>
        <v>0</v>
      </c>
      <c r="AB30" s="129" t="s">
        <v>13</v>
      </c>
      <c r="AC30" s="181"/>
      <c r="AD30" s="172"/>
      <c r="AE30" s="153">
        <v>0</v>
      </c>
      <c r="AF30" s="169"/>
      <c r="AG30" s="170"/>
      <c r="AH30" s="169"/>
      <c r="AI30" s="19">
        <f>AA30*AE30/100</f>
        <v>0</v>
      </c>
      <c r="AJ30" s="21"/>
      <c r="AK30" s="22">
        <f t="shared" si="3"/>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f>AI31-AH31</f>
        <v>0</v>
      </c>
      <c r="R31" s="172"/>
      <c r="S31" s="172"/>
      <c r="T31" s="172"/>
      <c r="U31" s="172"/>
      <c r="V31" s="172"/>
      <c r="W31" s="172"/>
      <c r="X31" s="172"/>
      <c r="Y31" s="172"/>
      <c r="Z31" s="172"/>
      <c r="AA31" s="21">
        <f t="shared" si="0"/>
        <v>0</v>
      </c>
      <c r="AB31" s="129" t="s">
        <v>171</v>
      </c>
      <c r="AC31" s="170"/>
      <c r="AD31" s="174"/>
      <c r="AE31" s="24">
        <v>300</v>
      </c>
      <c r="AF31" s="169"/>
      <c r="AG31" s="181">
        <f>-AH31/$D$2%</f>
        <v>0</v>
      </c>
      <c r="AH31" s="700">
        <v>0</v>
      </c>
      <c r="AI31" s="182">
        <f>AH31*AE31%</f>
        <v>0</v>
      </c>
      <c r="AJ31" s="7"/>
      <c r="AK31" s="22">
        <f t="shared" si="3"/>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f t="shared" si="0"/>
        <v>0</v>
      </c>
      <c r="AB32" s="129" t="s">
        <v>172</v>
      </c>
      <c r="AC32" s="170"/>
      <c r="AD32" s="174"/>
      <c r="AE32" s="24">
        <v>100</v>
      </c>
      <c r="AF32" s="169"/>
      <c r="AG32" s="181">
        <f>-AH32/$D$2%</f>
        <v>0</v>
      </c>
      <c r="AH32" s="700">
        <v>0</v>
      </c>
      <c r="AI32" s="170">
        <f>AH32*AE32%</f>
        <v>0</v>
      </c>
      <c r="AJ32" s="7"/>
      <c r="AK32" s="22">
        <f t="shared" si="3"/>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f t="shared" si="0"/>
        <v>0</v>
      </c>
      <c r="AB33" s="129" t="s">
        <v>27</v>
      </c>
      <c r="AC33" s="181"/>
      <c r="AD33" s="172"/>
      <c r="AE33" s="172"/>
      <c r="AF33" s="156">
        <v>75.710000000000008</v>
      </c>
      <c r="AG33" s="170"/>
      <c r="AH33" s="169"/>
      <c r="AI33" s="19">
        <f>-SUM(AI29:AI32)</f>
        <v>0</v>
      </c>
      <c r="AJ33" s="21">
        <f>-AI33*AF33%</f>
        <v>0</v>
      </c>
      <c r="AK33" s="22">
        <f>SUM(AL33:AT33)</f>
        <v>0</v>
      </c>
      <c r="AL33" s="157">
        <f>AJ33*65.1%</f>
        <v>0</v>
      </c>
      <c r="AM33" s="157">
        <f>AJ33*9.9%</f>
        <v>0</v>
      </c>
      <c r="AN33" s="153">
        <f>AJ33*13.3%</f>
        <v>0</v>
      </c>
      <c r="AO33" s="153">
        <f>AJ33*7%</f>
        <v>0</v>
      </c>
      <c r="AP33" s="153">
        <f>AJ33*0%</f>
        <v>0</v>
      </c>
      <c r="AQ33" s="153">
        <f>AJ33*3.2%</f>
        <v>0</v>
      </c>
      <c r="AR33" s="153">
        <f>AJ33*1.5%</f>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f t="shared" si="0"/>
        <v>0</v>
      </c>
      <c r="AB34" s="129" t="s">
        <v>185</v>
      </c>
      <c r="AC34" s="155">
        <v>0</v>
      </c>
      <c r="AD34" s="172"/>
      <c r="AE34" s="153">
        <v>0</v>
      </c>
      <c r="AF34" s="173"/>
      <c r="AG34" s="170">
        <f>AA34*AC34/100</f>
        <v>0</v>
      </c>
      <c r="AH34" s="169"/>
      <c r="AI34" s="19">
        <f>AA34*AE34/100</f>
        <v>0</v>
      </c>
      <c r="AJ34" s="21"/>
      <c r="AK34" s="22">
        <f t="shared" si="3"/>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f t="shared" si="0"/>
        <v>0</v>
      </c>
      <c r="AB35" s="129" t="s">
        <v>7</v>
      </c>
      <c r="AC35" s="181"/>
      <c r="AD35" s="172"/>
      <c r="AE35" s="153">
        <v>0</v>
      </c>
      <c r="AF35" s="173"/>
      <c r="AG35" s="170">
        <f>AA35*AC35/100</f>
        <v>0</v>
      </c>
      <c r="AH35" s="169"/>
      <c r="AI35" s="19">
        <f>AA35*AE35/100</f>
        <v>0</v>
      </c>
      <c r="AJ35" s="21"/>
      <c r="AK35" s="22">
        <f t="shared" si="3"/>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f t="shared" si="0"/>
        <v>0</v>
      </c>
      <c r="AB36" s="130" t="s">
        <v>28</v>
      </c>
      <c r="AC36" s="181"/>
      <c r="AD36" s="172"/>
      <c r="AE36" s="172"/>
      <c r="AF36" s="156">
        <v>75.710000000000008</v>
      </c>
      <c r="AG36" s="170"/>
      <c r="AH36" s="169"/>
      <c r="AI36" s="19">
        <f>-SUM(AI34:AI35)</f>
        <v>0</v>
      </c>
      <c r="AJ36" s="21">
        <f>-AI36*AF36%</f>
        <v>0</v>
      </c>
      <c r="AK36" s="22">
        <f t="shared" si="3"/>
        <v>0</v>
      </c>
      <c r="AL36" s="157">
        <f>AJ36*65.1%</f>
        <v>0</v>
      </c>
      <c r="AM36" s="157">
        <f>AJ36*9.9%</f>
        <v>0</v>
      </c>
      <c r="AN36" s="153">
        <f>AJ36*13.3%</f>
        <v>0</v>
      </c>
      <c r="AO36" s="153">
        <f>AJ36*7%</f>
        <v>0</v>
      </c>
      <c r="AP36" s="153">
        <f>AJ36*0%</f>
        <v>0</v>
      </c>
      <c r="AQ36" s="153">
        <f>AJ36*3.2%</f>
        <v>0</v>
      </c>
      <c r="AR36" s="153">
        <f>AJ36*1.5%</f>
        <v>0</v>
      </c>
      <c r="AS36" s="153"/>
      <c r="AT36" s="21"/>
    </row>
    <row r="37" spans="1:47" ht="15" customHeight="1" x14ac:dyDescent="0.2">
      <c r="A37" s="20"/>
      <c r="B37" s="153">
        <v>0</v>
      </c>
      <c r="C37" s="153">
        <v>0</v>
      </c>
      <c r="D37" s="153">
        <v>0</v>
      </c>
      <c r="E37" s="153">
        <v>0</v>
      </c>
      <c r="F37" s="153">
        <v>0</v>
      </c>
      <c r="G37" s="153">
        <v>0</v>
      </c>
      <c r="H37" s="153">
        <v>0</v>
      </c>
      <c r="I37" s="153">
        <v>61.06</v>
      </c>
      <c r="J37" s="692"/>
      <c r="K37" s="153"/>
      <c r="L37" s="153"/>
      <c r="M37" s="153">
        <v>0</v>
      </c>
      <c r="N37" s="153">
        <v>0</v>
      </c>
      <c r="O37" s="153">
        <v>0</v>
      </c>
      <c r="P37" s="153">
        <v>0</v>
      </c>
      <c r="Q37" s="153">
        <v>0</v>
      </c>
      <c r="R37" s="153">
        <v>0</v>
      </c>
      <c r="S37" s="153">
        <v>0</v>
      </c>
      <c r="T37" s="153">
        <v>0</v>
      </c>
      <c r="U37" s="153">
        <v>0</v>
      </c>
      <c r="V37" s="153">
        <v>457.57</v>
      </c>
      <c r="W37" s="153">
        <v>0</v>
      </c>
      <c r="X37" s="153">
        <v>0</v>
      </c>
      <c r="Y37" s="153">
        <v>1.51</v>
      </c>
      <c r="Z37" s="153">
        <v>0</v>
      </c>
      <c r="AA37" s="21">
        <f t="shared" si="0"/>
        <v>520.14</v>
      </c>
      <c r="AB37" s="130" t="s">
        <v>186</v>
      </c>
      <c r="AC37" s="155">
        <v>27.812192871150081</v>
      </c>
      <c r="AD37" s="172"/>
      <c r="AE37" s="153">
        <v>53.643815126696659</v>
      </c>
      <c r="AF37" s="173"/>
      <c r="AG37" s="19">
        <f>AA37*AC37/100</f>
        <v>144.66234000000003</v>
      </c>
      <c r="AH37" s="21"/>
      <c r="AI37" s="19">
        <f t="shared" ref="AI37" si="5">AA37*AE37/100</f>
        <v>279.02294000000001</v>
      </c>
      <c r="AJ37" s="21"/>
      <c r="AK37" s="22">
        <f t="shared" si="3"/>
        <v>0</v>
      </c>
      <c r="AL37" s="175"/>
      <c r="AM37" s="174"/>
      <c r="AN37" s="174"/>
      <c r="AO37" s="174"/>
      <c r="AP37" s="174"/>
      <c r="AQ37" s="174"/>
      <c r="AR37" s="174"/>
      <c r="AS37" s="174"/>
      <c r="AT37" s="21"/>
    </row>
    <row r="38" spans="1:47" ht="15" customHeight="1" x14ac:dyDescent="0.2">
      <c r="A38" s="20"/>
      <c r="B38" s="153">
        <v>0</v>
      </c>
      <c r="C38" s="153">
        <v>0</v>
      </c>
      <c r="D38" s="153">
        <v>0</v>
      </c>
      <c r="E38" s="153">
        <v>0.67</v>
      </c>
      <c r="F38" s="153">
        <v>0</v>
      </c>
      <c r="G38" s="153">
        <v>0</v>
      </c>
      <c r="H38" s="153">
        <v>0</v>
      </c>
      <c r="I38" s="153">
        <v>133.03</v>
      </c>
      <c r="J38" s="31"/>
      <c r="K38" s="153"/>
      <c r="L38" s="153"/>
      <c r="M38" s="153">
        <v>0</v>
      </c>
      <c r="N38" s="153">
        <v>0</v>
      </c>
      <c r="O38" s="153">
        <v>0</v>
      </c>
      <c r="P38" s="153">
        <v>0</v>
      </c>
      <c r="Q38" s="153">
        <v>0</v>
      </c>
      <c r="R38" s="153">
        <v>0</v>
      </c>
      <c r="S38" s="153">
        <v>2.02</v>
      </c>
      <c r="T38" s="153">
        <v>0</v>
      </c>
      <c r="U38" s="153">
        <v>109.06</v>
      </c>
      <c r="V38" s="153">
        <v>362.98</v>
      </c>
      <c r="W38" s="153">
        <v>0</v>
      </c>
      <c r="X38" s="153">
        <v>0</v>
      </c>
      <c r="Y38" s="153">
        <v>0</v>
      </c>
      <c r="Z38" s="153">
        <v>0</v>
      </c>
      <c r="AA38" s="21">
        <f t="shared" si="0"/>
        <v>607.76</v>
      </c>
      <c r="AB38" s="130" t="s">
        <v>209</v>
      </c>
      <c r="AC38" s="181"/>
      <c r="AD38" s="172"/>
      <c r="AE38" s="153">
        <v>91.335727918915367</v>
      </c>
      <c r="AF38" s="173"/>
      <c r="AG38" s="19">
        <f>AA38*AC38/100</f>
        <v>0</v>
      </c>
      <c r="AH38" s="21"/>
      <c r="AI38" s="19">
        <f>AA38*AE38/100</f>
        <v>555.10202000000004</v>
      </c>
      <c r="AJ38" s="21"/>
      <c r="AK38" s="22">
        <f t="shared" si="3"/>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f>AI39-AH39</f>
        <v>0</v>
      </c>
      <c r="R39" s="2"/>
      <c r="S39" s="2"/>
      <c r="T39" s="2"/>
      <c r="U39" s="2"/>
      <c r="V39" s="2"/>
      <c r="W39" s="2"/>
      <c r="X39" s="2"/>
      <c r="Y39" s="2"/>
      <c r="Z39" s="2"/>
      <c r="AA39" s="21">
        <f t="shared" si="0"/>
        <v>0</v>
      </c>
      <c r="AB39" s="130" t="s">
        <v>210</v>
      </c>
      <c r="AC39" s="170"/>
      <c r="AD39" s="174"/>
      <c r="AE39" s="153">
        <v>0</v>
      </c>
      <c r="AF39" s="169"/>
      <c r="AG39" s="181">
        <f>-AH39/$D$2%</f>
        <v>0</v>
      </c>
      <c r="AH39" s="700">
        <v>0</v>
      </c>
      <c r="AI39" s="170">
        <f>(AH39+I39)*AE39%</f>
        <v>0</v>
      </c>
      <c r="AJ39" s="173"/>
      <c r="AK39" s="22">
        <f t="shared" si="3"/>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f t="shared" si="0"/>
        <v>0</v>
      </c>
      <c r="AB40" s="130" t="s">
        <v>211</v>
      </c>
      <c r="AC40" s="170"/>
      <c r="AD40" s="174"/>
      <c r="AE40" s="153">
        <v>0</v>
      </c>
      <c r="AF40" s="169"/>
      <c r="AG40" s="181">
        <f>-AH40/$D$2%</f>
        <v>0</v>
      </c>
      <c r="AH40" s="700">
        <v>0</v>
      </c>
      <c r="AI40" s="181">
        <f>AH40*AE40%</f>
        <v>0</v>
      </c>
      <c r="AJ40" s="173"/>
      <c r="AK40" s="22">
        <f t="shared" si="3"/>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f t="shared" si="0"/>
        <v>0</v>
      </c>
      <c r="AB41" s="130" t="s">
        <v>212</v>
      </c>
      <c r="AC41" s="181"/>
      <c r="AD41" s="172"/>
      <c r="AE41" s="153">
        <v>0</v>
      </c>
      <c r="AF41" s="173"/>
      <c r="AG41" s="19"/>
      <c r="AH41" s="21"/>
      <c r="AI41" s="19">
        <f t="shared" ref="AI41:AI42" si="6">AA41*AE41/100</f>
        <v>0</v>
      </c>
      <c r="AJ41" s="21"/>
      <c r="AK41" s="22">
        <f t="shared" si="3"/>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f t="shared" si="0"/>
        <v>0</v>
      </c>
      <c r="AB42" s="130" t="s">
        <v>213</v>
      </c>
      <c r="AC42" s="181"/>
      <c r="AD42" s="172"/>
      <c r="AE42" s="153">
        <v>100</v>
      </c>
      <c r="AF42" s="173"/>
      <c r="AG42" s="19">
        <f>AA42*AC42/100</f>
        <v>0</v>
      </c>
      <c r="AH42" s="21"/>
      <c r="AI42" s="19">
        <f t="shared" si="6"/>
        <v>0</v>
      </c>
      <c r="AJ42" s="21"/>
      <c r="AK42" s="22">
        <f t="shared" si="3"/>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f t="shared" si="0"/>
        <v>0</v>
      </c>
      <c r="AB43" s="130" t="s">
        <v>214</v>
      </c>
      <c r="AC43" s="181"/>
      <c r="AD43" s="172"/>
      <c r="AE43" s="172"/>
      <c r="AF43" s="156">
        <v>75.710000000000008</v>
      </c>
      <c r="AG43" s="170"/>
      <c r="AH43" s="169"/>
      <c r="AI43" s="170">
        <f>-SUM(AI37:AI42)</f>
        <v>-834.1249600000001</v>
      </c>
      <c r="AJ43" s="169">
        <f>-AI43*AF43%</f>
        <v>631.51600721600016</v>
      </c>
      <c r="AK43" s="22">
        <f t="shared" si="3"/>
        <v>631.51600721600016</v>
      </c>
      <c r="AL43" s="157">
        <f>AJ43*65.1%</f>
        <v>411.11692069761602</v>
      </c>
      <c r="AM43" s="157">
        <f>AJ43*9.9%</f>
        <v>62.520084714384019</v>
      </c>
      <c r="AN43" s="153">
        <f>AJ43*13.3%</f>
        <v>83.991628959728033</v>
      </c>
      <c r="AO43" s="153">
        <f>AJ43*7%</f>
        <v>44.206120505120019</v>
      </c>
      <c r="AP43" s="153">
        <f>AJ43*0%</f>
        <v>0</v>
      </c>
      <c r="AQ43" s="153">
        <f>AJ43*3.2%</f>
        <v>20.208512230912007</v>
      </c>
      <c r="AR43" s="153">
        <f>AJ43*1.5%</f>
        <v>9.4727401082400018</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f t="shared" si="0"/>
        <v>0</v>
      </c>
      <c r="AB44" s="130" t="s">
        <v>187</v>
      </c>
      <c r="AC44" s="141">
        <v>0</v>
      </c>
      <c r="AD44" s="172"/>
      <c r="AE44" s="2">
        <v>0</v>
      </c>
      <c r="AF44" s="156"/>
      <c r="AG44" s="19">
        <f>AA44*AC44/100</f>
        <v>0</v>
      </c>
      <c r="AH44" s="169"/>
      <c r="AI44" s="170">
        <f>AA44*AE44/100</f>
        <v>0</v>
      </c>
      <c r="AJ44" s="169"/>
      <c r="AK44" s="22">
        <f t="shared" ref="AK44:AK59" si="7">SUM(AL44:AT44)</f>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f t="shared" si="0"/>
        <v>0</v>
      </c>
      <c r="AB45" s="130" t="s">
        <v>188</v>
      </c>
      <c r="AC45" s="181"/>
      <c r="AD45" s="172"/>
      <c r="AE45" s="153">
        <v>99</v>
      </c>
      <c r="AF45" s="173"/>
      <c r="AG45" s="170">
        <f>-AH45/$D$2%</f>
        <v>0</v>
      </c>
      <c r="AH45" s="169"/>
      <c r="AI45" s="170">
        <f>AA45*AE45%</f>
        <v>0</v>
      </c>
      <c r="AJ45" s="169"/>
      <c r="AK45" s="22">
        <f t="shared" si="7"/>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f>AI46-AH46</f>
        <v>0</v>
      </c>
      <c r="R46" s="24"/>
      <c r="S46" s="24"/>
      <c r="T46" s="24"/>
      <c r="U46" s="24"/>
      <c r="V46" s="24"/>
      <c r="W46" s="24"/>
      <c r="X46" s="24"/>
      <c r="Y46" s="24"/>
      <c r="Z46" s="24"/>
      <c r="AA46" s="29">
        <f t="shared" si="0"/>
        <v>0</v>
      </c>
      <c r="AB46" s="130" t="s">
        <v>189</v>
      </c>
      <c r="AC46" s="170"/>
      <c r="AD46" s="174"/>
      <c r="AE46" s="153">
        <v>300</v>
      </c>
      <c r="AF46" s="169"/>
      <c r="AG46" s="170">
        <f>-AH46/$D$2%</f>
        <v>0</v>
      </c>
      <c r="AH46" s="156"/>
      <c r="AI46" s="170">
        <f>(AH46+I46)*AE46%</f>
        <v>0</v>
      </c>
      <c r="AJ46" s="21"/>
      <c r="AK46" s="22">
        <f t="shared" si="7"/>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f t="shared" si="0"/>
        <v>0</v>
      </c>
      <c r="AB47" s="130" t="s">
        <v>190</v>
      </c>
      <c r="AC47" s="170"/>
      <c r="AD47" s="174"/>
      <c r="AE47" s="153">
        <v>100</v>
      </c>
      <c r="AF47" s="169"/>
      <c r="AG47" s="170">
        <f>-AH47/$D$2%</f>
        <v>0</v>
      </c>
      <c r="AH47" s="156"/>
      <c r="AI47" s="181">
        <f>AH47*AE47%</f>
        <v>0</v>
      </c>
      <c r="AJ47" s="169"/>
      <c r="AK47" s="22">
        <f t="shared" si="7"/>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f t="shared" si="0"/>
        <v>0</v>
      </c>
      <c r="AB48" s="130" t="s">
        <v>191</v>
      </c>
      <c r="AC48" s="170"/>
      <c r="AD48" s="174"/>
      <c r="AE48" s="24">
        <v>100</v>
      </c>
      <c r="AF48" s="169"/>
      <c r="AG48" s="170"/>
      <c r="AH48" s="169"/>
      <c r="AI48" s="170">
        <f>AA48*AE48/100</f>
        <v>0</v>
      </c>
      <c r="AJ48" s="169"/>
      <c r="AK48" s="22">
        <f t="shared" si="7"/>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f t="shared" si="0"/>
        <v>0</v>
      </c>
      <c r="AB49" s="130" t="s">
        <v>192</v>
      </c>
      <c r="AC49" s="181"/>
      <c r="AD49" s="172"/>
      <c r="AE49" s="153">
        <v>100</v>
      </c>
      <c r="AF49" s="173"/>
      <c r="AG49" s="170">
        <f>AA49*AC49%</f>
        <v>0</v>
      </c>
      <c r="AH49" s="169"/>
      <c r="AI49" s="170">
        <f>AA49*AE49%</f>
        <v>0</v>
      </c>
      <c r="AJ49" s="169"/>
      <c r="AK49" s="22">
        <f t="shared" si="7"/>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f t="shared" si="0"/>
        <v>0</v>
      </c>
      <c r="AB50" s="130" t="s">
        <v>193</v>
      </c>
      <c r="AC50" s="181"/>
      <c r="AD50" s="172"/>
      <c r="AE50" s="2">
        <v>100</v>
      </c>
      <c r="AF50" s="173"/>
      <c r="AG50" s="170"/>
      <c r="AH50" s="169"/>
      <c r="AI50" s="33"/>
      <c r="AJ50" s="169"/>
      <c r="AK50" s="22">
        <f t="shared" si="7"/>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f t="shared" si="0"/>
        <v>0</v>
      </c>
      <c r="AB51" s="130" t="s">
        <v>194</v>
      </c>
      <c r="AC51" s="181"/>
      <c r="AD51" s="172"/>
      <c r="AE51" s="172"/>
      <c r="AF51" s="156">
        <v>75.710000000000008</v>
      </c>
      <c r="AG51" s="170"/>
      <c r="AH51" s="169"/>
      <c r="AI51" s="6">
        <f>-SUM(AI44:AI50)</f>
        <v>0</v>
      </c>
      <c r="AJ51" s="169">
        <f>-AI51*AF51/100</f>
        <v>0</v>
      </c>
      <c r="AK51" s="22">
        <f t="shared" si="7"/>
        <v>0</v>
      </c>
      <c r="AL51" s="157">
        <f>AJ51*65.1%</f>
        <v>0</v>
      </c>
      <c r="AM51" s="157">
        <f>AJ51*9.9%</f>
        <v>0</v>
      </c>
      <c r="AN51" s="153">
        <f>AJ51*13.3%</f>
        <v>0</v>
      </c>
      <c r="AO51" s="153">
        <f>AJ51*7%</f>
        <v>0</v>
      </c>
      <c r="AP51" s="153">
        <f>AJ51*0%</f>
        <v>0</v>
      </c>
      <c r="AQ51" s="153">
        <f>AJ51*3.2%</f>
        <v>0</v>
      </c>
      <c r="AR51" s="153">
        <f>AJ51*1.5%</f>
        <v>0</v>
      </c>
      <c r="AS51" s="153"/>
      <c r="AT51" s="21"/>
    </row>
    <row r="52" spans="1:46" ht="15" customHeight="1" x14ac:dyDescent="0.2">
      <c r="A52" s="20"/>
      <c r="B52" s="153">
        <v>0</v>
      </c>
      <c r="C52" s="153">
        <v>0</v>
      </c>
      <c r="D52" s="153">
        <v>0</v>
      </c>
      <c r="E52" s="153">
        <v>0</v>
      </c>
      <c r="F52" s="153">
        <v>0</v>
      </c>
      <c r="G52" s="153">
        <v>0</v>
      </c>
      <c r="H52" s="153">
        <v>0</v>
      </c>
      <c r="I52" s="153">
        <v>3.61</v>
      </c>
      <c r="J52" s="31"/>
      <c r="K52" s="2"/>
      <c r="L52" s="2"/>
      <c r="M52" s="153">
        <v>0</v>
      </c>
      <c r="N52" s="153">
        <v>0</v>
      </c>
      <c r="O52" s="153">
        <v>0</v>
      </c>
      <c r="P52" s="153">
        <v>0</v>
      </c>
      <c r="Q52" s="153">
        <v>0</v>
      </c>
      <c r="R52" s="153">
        <v>47.246600000000001</v>
      </c>
      <c r="S52" s="153">
        <v>0</v>
      </c>
      <c r="T52" s="153">
        <v>0</v>
      </c>
      <c r="U52" s="153">
        <v>0</v>
      </c>
      <c r="V52" s="153">
        <v>0</v>
      </c>
      <c r="W52" s="153">
        <v>55.4634</v>
      </c>
      <c r="X52" s="153">
        <v>0</v>
      </c>
      <c r="Y52" s="153">
        <v>0</v>
      </c>
      <c r="Z52" s="153">
        <v>0</v>
      </c>
      <c r="AA52" s="29">
        <f t="shared" si="0"/>
        <v>106.32</v>
      </c>
      <c r="AB52" s="130" t="s">
        <v>195</v>
      </c>
      <c r="AC52" s="155">
        <v>33.4</v>
      </c>
      <c r="AD52" s="172"/>
      <c r="AE52" s="153">
        <v>51.2</v>
      </c>
      <c r="AF52" s="173"/>
      <c r="AG52" s="19">
        <f t="shared" ref="AG52:AG54" si="8">AC52/100*AA52</f>
        <v>35.510879999999993</v>
      </c>
      <c r="AH52" s="21"/>
      <c r="AI52" s="19">
        <f>AA52*AE52/100</f>
        <v>54.435839999999999</v>
      </c>
      <c r="AJ52" s="21"/>
      <c r="AK52" s="22">
        <f t="shared" si="7"/>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6.84</v>
      </c>
      <c r="W53" s="24">
        <v>0</v>
      </c>
      <c r="X53" s="24">
        <v>0</v>
      </c>
      <c r="Y53" s="24">
        <v>0</v>
      </c>
      <c r="Z53" s="24">
        <v>0</v>
      </c>
      <c r="AA53" s="29">
        <f t="shared" si="0"/>
        <v>6.84</v>
      </c>
      <c r="AB53" s="130" t="s">
        <v>196</v>
      </c>
      <c r="AC53" s="181"/>
      <c r="AD53" s="172"/>
      <c r="AE53" s="153">
        <v>110.3</v>
      </c>
      <c r="AF53" s="173"/>
      <c r="AG53" s="19">
        <f t="shared" si="8"/>
        <v>0</v>
      </c>
      <c r="AH53" s="21"/>
      <c r="AI53" s="19">
        <f>AA53*AE53/100</f>
        <v>7.5445200000000003</v>
      </c>
      <c r="AJ53" s="21"/>
      <c r="AK53" s="22">
        <f t="shared" si="7"/>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f t="shared" si="0"/>
        <v>0</v>
      </c>
      <c r="AB54" s="130" t="s">
        <v>197</v>
      </c>
      <c r="AC54" s="181"/>
      <c r="AD54" s="172"/>
      <c r="AE54" s="2">
        <v>100</v>
      </c>
      <c r="AF54" s="173"/>
      <c r="AG54" s="19">
        <f t="shared" si="8"/>
        <v>0</v>
      </c>
      <c r="AH54" s="156"/>
      <c r="AI54" s="33">
        <v>0</v>
      </c>
      <c r="AJ54" s="21"/>
      <c r="AK54" s="22">
        <f t="shared" si="7"/>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f t="shared" si="0"/>
        <v>0</v>
      </c>
      <c r="AB55" s="675" t="s">
        <v>198</v>
      </c>
      <c r="AC55" s="6"/>
      <c r="AD55" s="148"/>
      <c r="AE55" s="148"/>
      <c r="AF55" s="183"/>
      <c r="AG55" s="19">
        <f>-AH55</f>
        <v>-0.8</v>
      </c>
      <c r="AH55" s="8">
        <v>0.8</v>
      </c>
      <c r="AI55" s="141"/>
      <c r="AJ55" s="21"/>
      <c r="AK55" s="22">
        <f t="shared" si="7"/>
        <v>0.8</v>
      </c>
      <c r="AL55" s="175"/>
      <c r="AM55" s="174"/>
      <c r="AN55" s="174"/>
      <c r="AO55" s="174"/>
      <c r="AP55" s="174"/>
      <c r="AQ55" s="174">
        <f>AH55</f>
        <v>0.8</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f t="shared" si="0"/>
        <v>0</v>
      </c>
      <c r="AB56" s="675" t="s">
        <v>656</v>
      </c>
      <c r="AC56" s="6"/>
      <c r="AD56" s="148"/>
      <c r="AE56" s="148"/>
      <c r="AF56" s="173"/>
      <c r="AG56" s="19"/>
      <c r="AH56" s="173"/>
      <c r="AI56" s="141">
        <v>-58.279999999999994</v>
      </c>
      <c r="AJ56" s="21"/>
      <c r="AK56" s="22">
        <f t="shared" si="7"/>
        <v>58.279999999999994</v>
      </c>
      <c r="AL56" s="175"/>
      <c r="AM56" s="174"/>
      <c r="AN56" s="174"/>
      <c r="AO56" s="174"/>
      <c r="AP56" s="174"/>
      <c r="AQ56" s="174">
        <f>-AI56</f>
        <v>58.279999999999994</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f t="shared" si="0"/>
        <v>0</v>
      </c>
      <c r="AB57" s="130" t="s">
        <v>200</v>
      </c>
      <c r="AC57" s="6">
        <v>65</v>
      </c>
      <c r="AD57" s="148"/>
      <c r="AE57" s="148">
        <v>15</v>
      </c>
      <c r="AF57" s="173"/>
      <c r="AG57" s="19">
        <f>-AH57/$D$2%</f>
        <v>0</v>
      </c>
      <c r="AH57" s="173"/>
      <c r="AI57" s="141">
        <f>AH57*AE57%</f>
        <v>0</v>
      </c>
      <c r="AJ57" s="21">
        <f>AI57*AF60%</f>
        <v>0</v>
      </c>
      <c r="AK57" s="22">
        <f t="shared" si="7"/>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f t="shared" si="0"/>
        <v>0</v>
      </c>
      <c r="AB58" s="130" t="s">
        <v>201</v>
      </c>
      <c r="AC58" s="6">
        <v>630</v>
      </c>
      <c r="AD58" s="148"/>
      <c r="AE58" s="148"/>
      <c r="AF58" s="173"/>
      <c r="AG58" s="19">
        <f>-AH58/$D$2%</f>
        <v>0</v>
      </c>
      <c r="AH58" s="173"/>
      <c r="AI58" s="141">
        <f t="shared" ref="AI58:AI59" si="9">AH58*AE58%</f>
        <v>0</v>
      </c>
      <c r="AJ58" s="21">
        <f t="shared" ref="AJ58:AJ59" si="10">AI58*AF61%</f>
        <v>0</v>
      </c>
      <c r="AK58" s="22">
        <f t="shared" si="7"/>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f t="shared" si="0"/>
        <v>0</v>
      </c>
      <c r="AB59" s="130" t="s">
        <v>202</v>
      </c>
      <c r="AC59" s="6"/>
      <c r="AD59" s="148"/>
      <c r="AE59" s="148"/>
      <c r="AF59" s="173"/>
      <c r="AG59" s="19">
        <f>-AH59/$D$2%</f>
        <v>0</v>
      </c>
      <c r="AH59" s="173"/>
      <c r="AI59" s="141">
        <f t="shared" si="9"/>
        <v>0</v>
      </c>
      <c r="AJ59" s="21">
        <f t="shared" si="10"/>
        <v>0</v>
      </c>
      <c r="AK59" s="22">
        <f t="shared" si="7"/>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f t="shared" si="0"/>
        <v>0</v>
      </c>
      <c r="AB60" s="130" t="s">
        <v>203</v>
      </c>
      <c r="AC60" s="6"/>
      <c r="AD60" s="148"/>
      <c r="AE60" s="148"/>
      <c r="AF60" s="156">
        <v>75.710000000000008</v>
      </c>
      <c r="AG60" s="19"/>
      <c r="AH60" s="21"/>
      <c r="AI60" s="19">
        <f>-SUM(AI52:AI59)</f>
        <v>-3.7003600000000034</v>
      </c>
      <c r="AJ60" s="21">
        <f>-AI60*AF60/100</f>
        <v>2.8015425560000029</v>
      </c>
      <c r="AK60" s="22">
        <f t="shared" ref="AK60:AK61" si="11">SUM(AL60:AT60)</f>
        <v>2.801542556000002</v>
      </c>
      <c r="AL60" s="157">
        <f>AJ60*65.1%</f>
        <v>1.8238042039560016</v>
      </c>
      <c r="AM60" s="157">
        <f>AJ60*9.9%</f>
        <v>0.27735271304400028</v>
      </c>
      <c r="AN60" s="153">
        <f>AJ60*13.3%</f>
        <v>0.37260515994800042</v>
      </c>
      <c r="AO60" s="153">
        <f>AJ60*7%</f>
        <v>0.19610797892000023</v>
      </c>
      <c r="AP60" s="153">
        <f>AJ60*0%</f>
        <v>0</v>
      </c>
      <c r="AQ60" s="153">
        <f>AJ60*3.2%</f>
        <v>8.9649361792000101E-2</v>
      </c>
      <c r="AR60" s="153">
        <f>AJ60*1.5%</f>
        <v>4.2023138340000044E-2</v>
      </c>
      <c r="AS60" s="153"/>
      <c r="AT60" s="21"/>
    </row>
    <row r="61" spans="1:46" ht="15" customHeight="1" x14ac:dyDescent="0.2">
      <c r="A61" s="19"/>
      <c r="B61" s="20"/>
      <c r="C61" s="20"/>
      <c r="D61" s="20"/>
      <c r="E61" s="20"/>
      <c r="F61" s="172"/>
      <c r="G61" s="172"/>
      <c r="H61" s="153">
        <f>AA61-S61</f>
        <v>472.16012647747198</v>
      </c>
      <c r="I61" s="172"/>
      <c r="J61" s="172"/>
      <c r="K61" s="172"/>
      <c r="L61" s="172"/>
      <c r="M61" s="172"/>
      <c r="N61" s="172"/>
      <c r="O61" s="172"/>
      <c r="P61" s="172"/>
      <c r="Q61" s="172"/>
      <c r="R61" s="172"/>
      <c r="S61" s="153">
        <f>AA61*3.1%</f>
        <v>15.105225924459887</v>
      </c>
      <c r="T61" s="174"/>
      <c r="U61" s="20"/>
      <c r="V61" s="20"/>
      <c r="W61" s="20"/>
      <c r="X61" s="20"/>
      <c r="Y61" s="20"/>
      <c r="Z61" s="20"/>
      <c r="AA61" s="153">
        <v>487.26535240193186</v>
      </c>
      <c r="AB61" s="130" t="s">
        <v>204</v>
      </c>
      <c r="AC61" s="170"/>
      <c r="AD61" s="174">
        <v>19</v>
      </c>
      <c r="AE61" s="174"/>
      <c r="AF61" s="21"/>
      <c r="AG61" s="19"/>
      <c r="AH61" s="21"/>
      <c r="AI61" s="19"/>
      <c r="AJ61" s="21"/>
      <c r="AK61" s="22">
        <f t="shared" si="11"/>
        <v>92.58041695636706</v>
      </c>
      <c r="AL61" s="30"/>
      <c r="AM61" s="20"/>
      <c r="AN61" s="20"/>
      <c r="AO61" s="20"/>
      <c r="AP61" s="20"/>
      <c r="AQ61" s="20"/>
      <c r="AR61" s="20"/>
      <c r="AS61" s="20"/>
      <c r="AT61" s="21">
        <f>AA61*AD61/100</f>
        <v>92.58041695636706</v>
      </c>
    </row>
    <row r="62" spans="1:46" ht="15" customHeight="1" x14ac:dyDescent="0.2">
      <c r="A62" s="19"/>
      <c r="B62" s="20"/>
      <c r="C62" s="20"/>
      <c r="D62" s="20"/>
      <c r="E62" s="20"/>
      <c r="F62" s="153">
        <f>AA62-S62</f>
        <v>597.26457399947844</v>
      </c>
      <c r="G62" s="172"/>
      <c r="H62" s="172"/>
      <c r="I62" s="172"/>
      <c r="J62" s="172"/>
      <c r="K62" s="172"/>
      <c r="L62" s="172"/>
      <c r="M62" s="172"/>
      <c r="N62" s="172"/>
      <c r="O62" s="172"/>
      <c r="P62" s="172"/>
      <c r="Q62" s="172"/>
      <c r="R62" s="172"/>
      <c r="S62" s="153">
        <f>AA62*6.9%</f>
        <v>44.26558067235662</v>
      </c>
      <c r="T62" s="174"/>
      <c r="U62" s="20"/>
      <c r="V62" s="20"/>
      <c r="W62" s="20"/>
      <c r="X62" s="20"/>
      <c r="Y62" s="20"/>
      <c r="Z62" s="20"/>
      <c r="AA62" s="153">
        <v>641.53015467183502</v>
      </c>
      <c r="AB62" s="130" t="s">
        <v>205</v>
      </c>
      <c r="AC62" s="170"/>
      <c r="AD62" s="174">
        <v>24.3</v>
      </c>
      <c r="AE62" s="174"/>
      <c r="AF62" s="21"/>
      <c r="AG62" s="19"/>
      <c r="AH62" s="21"/>
      <c r="AI62" s="19"/>
      <c r="AJ62" s="21"/>
      <c r="AK62" s="22">
        <f t="shared" ref="AK62:AK80" si="12">SUM(AL62:AT62)</f>
        <v>155.89182758525592</v>
      </c>
      <c r="AL62" s="30"/>
      <c r="AM62" s="20"/>
      <c r="AN62" s="20"/>
      <c r="AO62" s="20"/>
      <c r="AP62" s="20"/>
      <c r="AQ62" s="20"/>
      <c r="AR62" s="20"/>
      <c r="AS62" s="20"/>
      <c r="AT62" s="21">
        <f>AA62*AD62/100</f>
        <v>155.89182758525592</v>
      </c>
    </row>
    <row r="63" spans="1:46" ht="15" customHeight="1" x14ac:dyDescent="0.2">
      <c r="A63" s="19"/>
      <c r="B63" s="20"/>
      <c r="C63" s="20"/>
      <c r="D63" s="20"/>
      <c r="E63" s="20"/>
      <c r="F63" s="153"/>
      <c r="G63" s="172"/>
      <c r="H63" s="172"/>
      <c r="I63" s="153">
        <v>1.7752922846727228</v>
      </c>
      <c r="J63" s="172"/>
      <c r="K63" s="172"/>
      <c r="L63" s="172"/>
      <c r="M63" s="172"/>
      <c r="N63" s="172"/>
      <c r="O63" s="172"/>
      <c r="P63" s="172"/>
      <c r="Q63" s="172"/>
      <c r="R63" s="172"/>
      <c r="S63" s="153"/>
      <c r="T63" s="174"/>
      <c r="U63" s="20"/>
      <c r="V63" s="20"/>
      <c r="W63" s="20"/>
      <c r="X63" s="20"/>
      <c r="Y63" s="20"/>
      <c r="Z63" s="20"/>
      <c r="AA63" s="4">
        <f t="shared" ref="AA63:AA66" si="13">SUM(A63:Z63)</f>
        <v>1.7752922846727228</v>
      </c>
      <c r="AB63" s="128" t="s">
        <v>649</v>
      </c>
      <c r="AC63" s="170"/>
      <c r="AD63" s="174">
        <v>22.6</v>
      </c>
      <c r="AE63" s="174"/>
      <c r="AF63" s="21"/>
      <c r="AG63" s="19"/>
      <c r="AH63" s="21"/>
      <c r="AI63" s="19"/>
      <c r="AJ63" s="21"/>
      <c r="AK63" s="22">
        <f t="shared" si="12"/>
        <v>0.40121605633603535</v>
      </c>
      <c r="AL63" s="30"/>
      <c r="AM63" s="20"/>
      <c r="AN63" s="20"/>
      <c r="AO63" s="20"/>
      <c r="AP63" s="20"/>
      <c r="AQ63" s="20"/>
      <c r="AR63" s="20"/>
      <c r="AS63" s="20"/>
      <c r="AT63" s="21">
        <f>AA63*AD63/100</f>
        <v>0.40121605633603535</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f t="shared" si="13"/>
        <v>0</v>
      </c>
      <c r="AB64" s="129" t="s">
        <v>650</v>
      </c>
      <c r="AC64" s="170">
        <v>67.7</v>
      </c>
      <c r="AD64" s="174"/>
      <c r="AE64" s="174"/>
      <c r="AF64" s="21"/>
      <c r="AG64" s="19">
        <f t="shared" ref="AG64:AG65" si="14">-AH64/$D$2%</f>
        <v>-0.232295876542986</v>
      </c>
      <c r="AH64" s="153">
        <v>0.21334053301707834</v>
      </c>
      <c r="AI64" s="19"/>
      <c r="AJ64" s="21"/>
      <c r="AK64" s="22">
        <f t="shared" ref="AK64" si="15">SUM(AL64:AT64)</f>
        <v>0.14443154085256205</v>
      </c>
      <c r="AL64" s="30"/>
      <c r="AM64" s="20"/>
      <c r="AN64" s="20"/>
      <c r="AO64" s="20"/>
      <c r="AP64" s="20"/>
      <c r="AQ64" s="20"/>
      <c r="AR64" s="20"/>
      <c r="AS64" s="20"/>
      <c r="AT64" s="21">
        <f>AH64*AC64%</f>
        <v>0.14443154085256205</v>
      </c>
    </row>
    <row r="65" spans="1:46" ht="15" customHeight="1" x14ac:dyDescent="0.2">
      <c r="A65" s="19"/>
      <c r="B65" s="20"/>
      <c r="C65" s="20"/>
      <c r="D65" s="20"/>
      <c r="E65" s="20"/>
      <c r="F65" s="153"/>
      <c r="G65" s="172"/>
      <c r="H65" s="172">
        <f>AA65-S65</f>
        <v>0.12590726554909482</v>
      </c>
      <c r="I65" s="172"/>
      <c r="J65" s="172"/>
      <c r="K65" s="172"/>
      <c r="L65" s="172"/>
      <c r="M65" s="172"/>
      <c r="N65" s="172"/>
      <c r="O65" s="172"/>
      <c r="P65" s="172"/>
      <c r="Q65" s="172"/>
      <c r="R65" s="172"/>
      <c r="S65" s="153">
        <f>AA65*6.9%</f>
        <v>9.3314729569146555E-3</v>
      </c>
      <c r="T65" s="174"/>
      <c r="U65" s="20"/>
      <c r="V65" s="20"/>
      <c r="W65" s="20"/>
      <c r="X65" s="20"/>
      <c r="Y65" s="20"/>
      <c r="Z65" s="20"/>
      <c r="AA65" s="153">
        <v>0.13523873850600948</v>
      </c>
      <c r="AB65" s="130" t="s">
        <v>645</v>
      </c>
      <c r="AC65" s="170">
        <f>AC64</f>
        <v>67.7</v>
      </c>
      <c r="AD65" s="174">
        <v>19</v>
      </c>
      <c r="AE65" s="174"/>
      <c r="AF65" s="21"/>
      <c r="AG65" s="19">
        <f t="shared" si="14"/>
        <v>-4.1327027410302225E-2</v>
      </c>
      <c r="AH65" s="153">
        <f>AA65*AD65%/AC65%</f>
        <v>3.7954741973621565E-2</v>
      </c>
      <c r="AI65" s="19"/>
      <c r="AJ65" s="21"/>
      <c r="AK65" s="22">
        <f t="shared" si="12"/>
        <v>5.1390720632283601E-2</v>
      </c>
      <c r="AL65" s="30"/>
      <c r="AM65" s="20"/>
      <c r="AN65" s="20"/>
      <c r="AO65" s="20"/>
      <c r="AP65" s="20"/>
      <c r="AQ65" s="20"/>
      <c r="AR65" s="20"/>
      <c r="AS65" s="20"/>
      <c r="AT65" s="21">
        <f>AH65*AC65%+AA65*AD65%</f>
        <v>5.1390720632283601E-2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f t="shared" si="13"/>
        <v>0</v>
      </c>
      <c r="AB66" s="128" t="s">
        <v>644</v>
      </c>
      <c r="AC66" s="170"/>
      <c r="AD66" s="174">
        <v>36.4</v>
      </c>
      <c r="AE66" s="174"/>
      <c r="AF66" s="21"/>
      <c r="AG66" s="19"/>
      <c r="AH66" s="21"/>
      <c r="AI66" s="19"/>
      <c r="AJ66" s="21"/>
      <c r="AK66" s="22">
        <f t="shared" si="12"/>
        <v>0</v>
      </c>
      <c r="AL66" s="30"/>
      <c r="AM66" s="20"/>
      <c r="AN66" s="20"/>
      <c r="AO66" s="20"/>
      <c r="AP66" s="20"/>
      <c r="AQ66" s="20"/>
      <c r="AR66" s="20"/>
      <c r="AS66" s="20"/>
      <c r="AT66" s="21">
        <f>AA66*AD66%</f>
        <v>0</v>
      </c>
    </row>
    <row r="67" spans="1:46" ht="15" customHeight="1" x14ac:dyDescent="0.2">
      <c r="A67" s="19"/>
      <c r="B67" s="20"/>
      <c r="C67" s="20"/>
      <c r="D67" s="20"/>
      <c r="E67" s="20"/>
      <c r="F67" s="153">
        <f>AA67-S67</f>
        <v>53.723465030184876</v>
      </c>
      <c r="G67" s="172"/>
      <c r="H67" s="172"/>
      <c r="I67" s="172"/>
      <c r="J67" s="172"/>
      <c r="K67" s="172"/>
      <c r="L67" s="172"/>
      <c r="M67" s="172"/>
      <c r="N67" s="172"/>
      <c r="O67" s="172"/>
      <c r="P67" s="172"/>
      <c r="Q67" s="172"/>
      <c r="R67" s="172"/>
      <c r="S67" s="153">
        <f>AA67*6.9%</f>
        <v>3.9816531547612852</v>
      </c>
      <c r="T67" s="174"/>
      <c r="U67" s="20"/>
      <c r="V67" s="20"/>
      <c r="W67" s="20"/>
      <c r="X67" s="20"/>
      <c r="Y67" s="20"/>
      <c r="Z67" s="20"/>
      <c r="AA67" s="153">
        <v>57.705118184946159</v>
      </c>
      <c r="AB67" s="131" t="s">
        <v>206</v>
      </c>
      <c r="AC67" s="170"/>
      <c r="AD67" s="174">
        <v>29.6</v>
      </c>
      <c r="AE67" s="174"/>
      <c r="AF67" s="21"/>
      <c r="AG67" s="19">
        <f>-AH67/$D$2%</f>
        <v>0</v>
      </c>
      <c r="AH67" s="21"/>
      <c r="AI67" s="19"/>
      <c r="AJ67" s="21"/>
      <c r="AK67" s="22">
        <f t="shared" si="12"/>
        <v>17.080714982744066</v>
      </c>
      <c r="AL67" s="30"/>
      <c r="AM67" s="20"/>
      <c r="AN67" s="20"/>
      <c r="AO67" s="20"/>
      <c r="AP67" s="20"/>
      <c r="AQ67" s="20"/>
      <c r="AR67" s="20"/>
      <c r="AS67" s="20"/>
      <c r="AT67" s="21">
        <f>AA67*AD67%</f>
        <v>17.080714982744066</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f t="shared" ref="AA68:AA70" si="16">SUM(A68:Z68)</f>
        <v>0</v>
      </c>
      <c r="AB68" s="676" t="s">
        <v>640</v>
      </c>
      <c r="AC68" s="170"/>
      <c r="AD68" s="174">
        <v>26.1</v>
      </c>
      <c r="AE68" s="174"/>
      <c r="AF68" s="21"/>
      <c r="AG68" s="19"/>
      <c r="AH68" s="21"/>
      <c r="AI68" s="19"/>
      <c r="AJ68" s="21"/>
      <c r="AK68" s="22">
        <f t="shared" si="12"/>
        <v>0</v>
      </c>
      <c r="AL68" s="30"/>
      <c r="AM68" s="20"/>
      <c r="AN68" s="20"/>
      <c r="AO68" s="20"/>
      <c r="AP68" s="20"/>
      <c r="AQ68" s="20"/>
      <c r="AR68" s="20"/>
      <c r="AS68" s="20"/>
      <c r="AT68" s="21">
        <f>AA68*AD68%</f>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f t="shared" si="16"/>
        <v>0</v>
      </c>
      <c r="AB69" s="676" t="s">
        <v>641</v>
      </c>
      <c r="AC69" s="170"/>
      <c r="AD69" s="174">
        <v>36.4</v>
      </c>
      <c r="AE69" s="174"/>
      <c r="AF69" s="21"/>
      <c r="AG69" s="19"/>
      <c r="AH69" s="21"/>
      <c r="AI69" s="19"/>
      <c r="AJ69" s="21"/>
      <c r="AK69" s="22">
        <f t="shared" si="12"/>
        <v>0</v>
      </c>
      <c r="AL69" s="30"/>
      <c r="AM69" s="20"/>
      <c r="AN69" s="20"/>
      <c r="AO69" s="20"/>
      <c r="AP69" s="20"/>
      <c r="AQ69" s="20"/>
      <c r="AR69" s="20"/>
      <c r="AS69" s="20"/>
      <c r="AT69" s="21">
        <f t="shared" ref="AT69" si="17">AA69*AD69%</f>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f t="shared" si="16"/>
        <v>0</v>
      </c>
      <c r="AB70" s="131" t="s">
        <v>651</v>
      </c>
      <c r="AC70" s="170">
        <v>67.7</v>
      </c>
      <c r="AD70" s="174"/>
      <c r="AE70" s="174"/>
      <c r="AF70" s="21"/>
      <c r="AG70" s="19">
        <f t="shared" ref="AG70" si="18">-AH70/$D$2%</f>
        <v>0</v>
      </c>
      <c r="AH70" s="153"/>
      <c r="AI70" s="19"/>
      <c r="AJ70" s="21"/>
      <c r="AK70" s="22">
        <f t="shared" ref="AK70:AK79" si="19">SUM(AL70:AT70)</f>
        <v>0</v>
      </c>
      <c r="AL70" s="30"/>
      <c r="AM70" s="20"/>
      <c r="AN70" s="20"/>
      <c r="AO70" s="20"/>
      <c r="AP70" s="20"/>
      <c r="AQ70" s="20"/>
      <c r="AR70" s="20"/>
      <c r="AS70" s="20"/>
      <c r="AT70" s="21">
        <f>AH70*AC70%</f>
        <v>0</v>
      </c>
    </row>
    <row r="71" spans="1:46" ht="15" customHeight="1" x14ac:dyDescent="0.2">
      <c r="A71" s="19"/>
      <c r="B71" s="20"/>
      <c r="C71" s="20"/>
      <c r="D71" s="20"/>
      <c r="E71" s="20"/>
      <c r="F71" s="153">
        <f>AA71-S71</f>
        <v>387.03165165806939</v>
      </c>
      <c r="G71" s="172"/>
      <c r="H71" s="172"/>
      <c r="I71" s="172"/>
      <c r="J71" s="172"/>
      <c r="K71" s="172"/>
      <c r="L71" s="172"/>
      <c r="M71" s="172"/>
      <c r="N71" s="172"/>
      <c r="O71" s="172"/>
      <c r="P71" s="172"/>
      <c r="Q71" s="172"/>
      <c r="R71" s="172"/>
      <c r="S71" s="153">
        <f>AA71*6.9%</f>
        <v>28.68440812503415</v>
      </c>
      <c r="T71" s="174"/>
      <c r="U71" s="20"/>
      <c r="V71" s="20"/>
      <c r="W71" s="20"/>
      <c r="X71" s="20"/>
      <c r="Y71" s="20"/>
      <c r="Z71" s="20"/>
      <c r="AA71" s="697">
        <v>415.71605978310356</v>
      </c>
      <c r="AB71" s="131" t="s">
        <v>207</v>
      </c>
      <c r="AC71" s="170"/>
      <c r="AD71" s="174">
        <v>36.5</v>
      </c>
      <c r="AE71" s="174"/>
      <c r="AF71" s="21"/>
      <c r="AG71" s="19"/>
      <c r="AH71" s="169"/>
      <c r="AI71" s="19"/>
      <c r="AJ71" s="21"/>
      <c r="AK71" s="22">
        <f t="shared" si="19"/>
        <v>151.7363618208328</v>
      </c>
      <c r="AL71" s="30"/>
      <c r="AM71" s="20"/>
      <c r="AN71" s="20"/>
      <c r="AO71" s="20"/>
      <c r="AP71" s="20"/>
      <c r="AQ71" s="20"/>
      <c r="AR71" s="20"/>
      <c r="AS71" s="20"/>
      <c r="AT71" s="21">
        <f>AA71*AD71%</f>
        <v>151.7363618208328</v>
      </c>
    </row>
    <row r="72" spans="1:46" ht="15" customHeight="1" x14ac:dyDescent="0.2">
      <c r="A72" s="19"/>
      <c r="B72" s="20"/>
      <c r="C72" s="20"/>
      <c r="D72" s="20"/>
      <c r="E72" s="20"/>
      <c r="F72" s="153"/>
      <c r="G72" s="172"/>
      <c r="H72" s="172"/>
      <c r="I72" s="2">
        <v>0.55147891060816556</v>
      </c>
      <c r="J72" s="172"/>
      <c r="K72" s="172"/>
      <c r="L72" s="172"/>
      <c r="M72" s="172"/>
      <c r="N72" s="172"/>
      <c r="O72" s="172"/>
      <c r="P72" s="172"/>
      <c r="Q72" s="172"/>
      <c r="R72" s="172"/>
      <c r="S72" s="153"/>
      <c r="T72" s="174"/>
      <c r="U72" s="20"/>
      <c r="V72" s="20"/>
      <c r="W72" s="20"/>
      <c r="X72" s="20"/>
      <c r="Y72" s="20"/>
      <c r="Z72" s="20"/>
      <c r="AA72" s="29">
        <f t="shared" ref="AA72:AA74" si="20">SUM(A72:Z72)</f>
        <v>0.55147891060816556</v>
      </c>
      <c r="AB72" s="676" t="s">
        <v>642</v>
      </c>
      <c r="AC72" s="170"/>
      <c r="AD72" s="174">
        <v>32.200000000000003</v>
      </c>
      <c r="AE72" s="174"/>
      <c r="AF72" s="21"/>
      <c r="AG72" s="19"/>
      <c r="AH72" s="169"/>
      <c r="AI72" s="19"/>
      <c r="AJ72" s="21"/>
      <c r="AK72" s="22">
        <f t="shared" si="19"/>
        <v>0.17757620921582931</v>
      </c>
      <c r="AL72" s="30"/>
      <c r="AM72" s="20"/>
      <c r="AN72" s="20"/>
      <c r="AO72" s="20"/>
      <c r="AP72" s="20"/>
      <c r="AQ72" s="20"/>
      <c r="AR72" s="20"/>
      <c r="AS72" s="20"/>
      <c r="AT72" s="21">
        <f>AA72*AD72%</f>
        <v>0.17757620921582931</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f t="shared" si="20"/>
        <v>0</v>
      </c>
      <c r="AB73" s="676" t="s">
        <v>643</v>
      </c>
      <c r="AC73" s="170"/>
      <c r="AD73" s="174">
        <v>36.4</v>
      </c>
      <c r="AE73" s="174"/>
      <c r="AF73" s="21"/>
      <c r="AG73" s="19"/>
      <c r="AH73" s="169"/>
      <c r="AI73" s="19"/>
      <c r="AJ73" s="21"/>
      <c r="AK73" s="22">
        <f t="shared" si="19"/>
        <v>0</v>
      </c>
      <c r="AL73" s="30"/>
      <c r="AM73" s="20"/>
      <c r="AN73" s="20"/>
      <c r="AO73" s="20"/>
      <c r="AP73" s="20"/>
      <c r="AQ73" s="20"/>
      <c r="AR73" s="20"/>
      <c r="AS73" s="20"/>
      <c r="AT73" s="21">
        <f t="shared" ref="AT73" si="21">AA73*AD73%</f>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f t="shared" si="20"/>
        <v>0</v>
      </c>
      <c r="AB74" s="131" t="s">
        <v>652</v>
      </c>
      <c r="AC74" s="170">
        <f>AC70</f>
        <v>67.7</v>
      </c>
      <c r="AD74" s="174"/>
      <c r="AE74" s="174"/>
      <c r="AF74" s="21"/>
      <c r="AG74" s="19">
        <f t="shared" ref="AG74" si="22">-AH74/$D$2%</f>
        <v>0</v>
      </c>
      <c r="AH74" s="153"/>
      <c r="AI74" s="19"/>
      <c r="AJ74" s="21"/>
      <c r="AK74" s="22">
        <f t="shared" si="19"/>
        <v>0</v>
      </c>
      <c r="AL74" s="30"/>
      <c r="AM74" s="20"/>
      <c r="AN74" s="20"/>
      <c r="AO74" s="20"/>
      <c r="AP74" s="20"/>
      <c r="AQ74" s="20"/>
      <c r="AR74" s="20"/>
      <c r="AS74" s="20"/>
      <c r="AT74" s="21">
        <f>AH74*AC74%</f>
        <v>0</v>
      </c>
    </row>
    <row r="75" spans="1:46" ht="15" customHeight="1" x14ac:dyDescent="0.2">
      <c r="A75" s="19"/>
      <c r="B75" s="20"/>
      <c r="C75" s="20"/>
      <c r="D75" s="20"/>
      <c r="E75" s="20"/>
      <c r="F75" s="153">
        <v>223.15171813934998</v>
      </c>
      <c r="G75" s="2"/>
      <c r="H75" s="2"/>
      <c r="I75" s="2"/>
      <c r="J75" s="2"/>
      <c r="K75" s="2"/>
      <c r="L75" s="2"/>
      <c r="M75" s="2"/>
      <c r="N75" s="2"/>
      <c r="O75" s="2"/>
      <c r="P75" s="2"/>
      <c r="Q75" s="2"/>
      <c r="R75" s="2"/>
      <c r="S75" s="153"/>
      <c r="T75" s="20"/>
      <c r="U75" s="20"/>
      <c r="V75" s="20"/>
      <c r="W75" s="20"/>
      <c r="X75" s="20"/>
      <c r="Y75" s="20"/>
      <c r="Z75" s="20"/>
      <c r="AA75" s="29">
        <f t="shared" si="0"/>
        <v>223.15171813934998</v>
      </c>
      <c r="AB75" s="131" t="s">
        <v>208</v>
      </c>
      <c r="AC75" s="170"/>
      <c r="AD75" s="174">
        <v>36.5</v>
      </c>
      <c r="AE75" s="174"/>
      <c r="AF75" s="21"/>
      <c r="AG75" s="19"/>
      <c r="AH75" s="21"/>
      <c r="AI75" s="19"/>
      <c r="AJ75" s="21"/>
      <c r="AK75" s="22">
        <f t="shared" si="19"/>
        <v>81.45037712086274</v>
      </c>
      <c r="AL75" s="30"/>
      <c r="AM75" s="20"/>
      <c r="AN75" s="20"/>
      <c r="AO75" s="20"/>
      <c r="AP75" s="20"/>
      <c r="AQ75" s="20"/>
      <c r="AR75" s="20"/>
      <c r="AS75" s="20">
        <f>AA75*AD75%</f>
        <v>81.45037712086274</v>
      </c>
      <c r="AT75" s="21"/>
    </row>
    <row r="76" spans="1:46" ht="15" customHeight="1" x14ac:dyDescent="0.2">
      <c r="A76" s="19"/>
      <c r="B76" s="20"/>
      <c r="C76" s="20"/>
      <c r="D76" s="20"/>
      <c r="E76" s="20"/>
      <c r="F76" s="153">
        <f>AA76-S76</f>
        <v>0</v>
      </c>
      <c r="G76" s="2"/>
      <c r="H76" s="2"/>
      <c r="I76" s="2"/>
      <c r="J76" s="2"/>
      <c r="K76" s="2"/>
      <c r="L76" s="2"/>
      <c r="M76" s="2"/>
      <c r="N76" s="2"/>
      <c r="O76" s="2"/>
      <c r="P76" s="2"/>
      <c r="Q76" s="2"/>
      <c r="R76" s="2"/>
      <c r="S76" s="153">
        <f>AA76*6.9%</f>
        <v>0</v>
      </c>
      <c r="T76" s="20"/>
      <c r="U76" s="20"/>
      <c r="V76" s="20"/>
      <c r="W76" s="20"/>
      <c r="X76" s="20"/>
      <c r="Y76" s="20"/>
      <c r="Z76" s="20"/>
      <c r="AA76" s="25"/>
      <c r="AB76" s="676" t="s">
        <v>671</v>
      </c>
      <c r="AC76" s="170"/>
      <c r="AD76" s="174">
        <v>12</v>
      </c>
      <c r="AE76" s="174"/>
      <c r="AF76" s="21"/>
      <c r="AG76" s="19"/>
      <c r="AH76" s="21"/>
      <c r="AI76" s="19"/>
      <c r="AJ76" s="21"/>
      <c r="AK76" s="22">
        <f t="shared" si="19"/>
        <v>0</v>
      </c>
      <c r="AL76" s="30"/>
      <c r="AM76" s="20"/>
      <c r="AN76" s="20"/>
      <c r="AO76" s="20"/>
      <c r="AP76" s="20"/>
      <c r="AQ76" s="20"/>
      <c r="AR76" s="20"/>
      <c r="AS76" s="20"/>
      <c r="AT76" s="21">
        <f>AA76*AD76%</f>
        <v>0</v>
      </c>
    </row>
    <row r="77" spans="1:46" ht="15" customHeight="1" x14ac:dyDescent="0.2">
      <c r="A77" s="19"/>
      <c r="B77" s="20"/>
      <c r="C77" s="20"/>
      <c r="D77" s="20"/>
      <c r="E77" s="20"/>
      <c r="F77" s="153">
        <f>AA77-S77</f>
        <v>24.848390000000002</v>
      </c>
      <c r="G77" s="172"/>
      <c r="H77" s="172"/>
      <c r="I77" s="172"/>
      <c r="J77" s="2"/>
      <c r="K77" s="2"/>
      <c r="L77" s="2"/>
      <c r="M77" s="172"/>
      <c r="N77" s="172"/>
      <c r="O77" s="172"/>
      <c r="P77" s="172"/>
      <c r="Q77" s="172"/>
      <c r="R77" s="172"/>
      <c r="S77" s="153">
        <f>AA77*6.9%</f>
        <v>1.8416100000000002</v>
      </c>
      <c r="T77" s="20"/>
      <c r="U77" s="20"/>
      <c r="V77" s="20"/>
      <c r="W77" s="20"/>
      <c r="X77" s="20"/>
      <c r="Y77" s="20"/>
      <c r="Z77" s="20"/>
      <c r="AA77" s="25">
        <v>26.69</v>
      </c>
      <c r="AB77" s="676" t="s">
        <v>672</v>
      </c>
      <c r="AC77" s="170"/>
      <c r="AD77" s="174">
        <v>25</v>
      </c>
      <c r="AE77" s="174"/>
      <c r="AF77" s="21"/>
      <c r="AG77" s="19"/>
      <c r="AH77" s="21"/>
      <c r="AI77" s="19"/>
      <c r="AJ77" s="21"/>
      <c r="AK77" s="22">
        <f t="shared" si="19"/>
        <v>6.6725000000000003</v>
      </c>
      <c r="AL77" s="30"/>
      <c r="AM77" s="20"/>
      <c r="AN77" s="20"/>
      <c r="AO77" s="20"/>
      <c r="AP77" s="20"/>
      <c r="AQ77" s="20"/>
      <c r="AR77" s="20"/>
      <c r="AS77" s="20"/>
      <c r="AT77" s="21">
        <f>AA77*AD77%</f>
        <v>6.6725000000000003</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f>SUM(A78:Z78)</f>
        <v>0</v>
      </c>
      <c r="AB78" s="676" t="s">
        <v>673</v>
      </c>
      <c r="AC78" s="687">
        <v>67</v>
      </c>
      <c r="AD78" s="174"/>
      <c r="AE78" s="184"/>
      <c r="AF78" s="41"/>
      <c r="AG78" s="19">
        <f t="shared" ref="AG78" si="23">-AH78/$D$2%</f>
        <v>0</v>
      </c>
      <c r="AH78" s="701">
        <v>0</v>
      </c>
      <c r="AI78" s="38"/>
      <c r="AJ78" s="41"/>
      <c r="AK78" s="22">
        <f t="shared" si="19"/>
        <v>0</v>
      </c>
      <c r="AL78" s="42"/>
      <c r="AM78" s="39"/>
      <c r="AN78" s="39"/>
      <c r="AO78" s="39"/>
      <c r="AP78" s="39"/>
      <c r="AQ78" s="39"/>
      <c r="AR78" s="39"/>
      <c r="AS78" s="39"/>
      <c r="AT78" s="21">
        <f>AC78*AH78%</f>
        <v>0</v>
      </c>
    </row>
    <row r="79" spans="1:46" ht="15" customHeight="1" x14ac:dyDescent="0.2">
      <c r="A79" s="38"/>
      <c r="B79" s="39"/>
      <c r="C79" s="39"/>
      <c r="D79" s="184"/>
      <c r="E79" s="184"/>
      <c r="F79" s="184"/>
      <c r="G79" s="154">
        <v>352.7</v>
      </c>
      <c r="H79" s="153">
        <v>0.3</v>
      </c>
      <c r="I79" s="184"/>
      <c r="J79" s="40"/>
      <c r="K79" s="40"/>
      <c r="L79" s="40"/>
      <c r="M79" s="184"/>
      <c r="N79" s="39"/>
      <c r="O79" s="39"/>
      <c r="P79" s="39"/>
      <c r="Q79" s="39"/>
      <c r="R79" s="39"/>
      <c r="S79" s="39"/>
      <c r="T79" s="39"/>
      <c r="U79" s="39"/>
      <c r="V79" s="39"/>
      <c r="W79" s="39"/>
      <c r="X79" s="39"/>
      <c r="Y79" s="39"/>
      <c r="Z79" s="39"/>
      <c r="AA79" s="21">
        <f>SUM(A79:Z79)</f>
        <v>353</v>
      </c>
      <c r="AB79" s="131" t="s">
        <v>9</v>
      </c>
      <c r="AC79" s="687"/>
      <c r="AD79" s="174">
        <v>13.5</v>
      </c>
      <c r="AE79" s="184"/>
      <c r="AF79" s="41"/>
      <c r="AG79" s="38"/>
      <c r="AH79" s="41"/>
      <c r="AI79" s="38"/>
      <c r="AJ79" s="41"/>
      <c r="AK79" s="22">
        <f t="shared" si="19"/>
        <v>47.654999999999994</v>
      </c>
      <c r="AL79" s="42"/>
      <c r="AM79" s="39"/>
      <c r="AN79" s="39"/>
      <c r="AO79" s="39"/>
      <c r="AP79" s="39"/>
      <c r="AQ79" s="39"/>
      <c r="AR79" s="39"/>
      <c r="AS79" s="39"/>
      <c r="AT79" s="21">
        <f>AD79*AA79%</f>
        <v>47.654999999999994</v>
      </c>
    </row>
    <row r="80" spans="1:46" ht="15" customHeight="1" thickBot="1" x14ac:dyDescent="0.25">
      <c r="A80" s="38"/>
      <c r="B80" s="39"/>
      <c r="C80" s="39"/>
      <c r="D80" s="154">
        <v>0</v>
      </c>
      <c r="E80" s="184"/>
      <c r="F80" s="154">
        <v>50.3</v>
      </c>
      <c r="G80" s="184"/>
      <c r="H80" s="184"/>
      <c r="I80" s="184"/>
      <c r="J80" s="40"/>
      <c r="K80" s="40"/>
      <c r="L80" s="40"/>
      <c r="M80" s="184"/>
      <c r="N80" s="39"/>
      <c r="O80" s="39"/>
      <c r="P80" s="39"/>
      <c r="Q80" s="39"/>
      <c r="R80" s="39"/>
      <c r="S80" s="39"/>
      <c r="T80" s="39"/>
      <c r="U80" s="39"/>
      <c r="V80" s="39"/>
      <c r="W80" s="39"/>
      <c r="X80" s="39"/>
      <c r="Y80" s="39"/>
      <c r="Z80" s="39"/>
      <c r="AA80" s="41">
        <f t="shared" si="0"/>
        <v>50.3</v>
      </c>
      <c r="AB80" s="132" t="s">
        <v>5</v>
      </c>
      <c r="AC80" s="688"/>
      <c r="AD80" s="174">
        <v>20</v>
      </c>
      <c r="AE80" s="689"/>
      <c r="AF80" s="45"/>
      <c r="AG80" s="43"/>
      <c r="AH80" s="45"/>
      <c r="AI80" s="43"/>
      <c r="AJ80" s="45"/>
      <c r="AK80" s="46">
        <f t="shared" si="12"/>
        <v>10.06</v>
      </c>
      <c r="AL80" s="47"/>
      <c r="AM80" s="44"/>
      <c r="AN80" s="44"/>
      <c r="AO80" s="44"/>
      <c r="AP80" s="44"/>
      <c r="AQ80" s="44"/>
      <c r="AR80" s="44"/>
      <c r="AS80" s="44"/>
      <c r="AT80" s="21">
        <f>AA80*AD80%</f>
        <v>10.06</v>
      </c>
    </row>
    <row r="81" spans="1:47" ht="15" customHeight="1" thickBot="1" x14ac:dyDescent="0.25">
      <c r="A81" s="48">
        <f t="shared" ref="A81:AA81" si="24">SUM(A8:A80)</f>
        <v>-188.86813638540309</v>
      </c>
      <c r="B81" s="49">
        <f t="shared" si="24"/>
        <v>20.399999999999999</v>
      </c>
      <c r="C81" s="49">
        <f t="shared" si="24"/>
        <v>0</v>
      </c>
      <c r="D81" s="49">
        <f t="shared" si="24"/>
        <v>8.6999999999999993</v>
      </c>
      <c r="E81" s="49">
        <f t="shared" si="24"/>
        <v>150.16999999999999</v>
      </c>
      <c r="F81" s="49">
        <f t="shared" si="24"/>
        <v>1336.3197988270826</v>
      </c>
      <c r="G81" s="49">
        <f t="shared" si="24"/>
        <v>352.7</v>
      </c>
      <c r="H81" s="49">
        <f t="shared" si="24"/>
        <v>472.58603374302106</v>
      </c>
      <c r="I81" s="49">
        <f t="shared" si="24"/>
        <v>927.50677119528098</v>
      </c>
      <c r="J81" s="49">
        <f t="shared" si="24"/>
        <v>0</v>
      </c>
      <c r="K81" s="49">
        <f t="shared" si="24"/>
        <v>0</v>
      </c>
      <c r="L81" s="49">
        <f t="shared" si="24"/>
        <v>0</v>
      </c>
      <c r="M81" s="49">
        <f t="shared" si="24"/>
        <v>1026.5999999999999</v>
      </c>
      <c r="N81" s="49">
        <f t="shared" si="24"/>
        <v>0</v>
      </c>
      <c r="O81" s="49">
        <f t="shared" si="24"/>
        <v>49</v>
      </c>
      <c r="P81" s="49">
        <f t="shared" si="24"/>
        <v>0</v>
      </c>
      <c r="Q81" s="49">
        <f t="shared" si="24"/>
        <v>9.3999999999999986</v>
      </c>
      <c r="R81" s="49">
        <f t="shared" si="24"/>
        <v>155.27846</v>
      </c>
      <c r="S81" s="49">
        <f t="shared" si="24"/>
        <v>129.97190934956885</v>
      </c>
      <c r="T81" s="49">
        <f t="shared" si="24"/>
        <v>96.411720000000003</v>
      </c>
      <c r="U81" s="49">
        <f t="shared" si="24"/>
        <v>569.05999999999995</v>
      </c>
      <c r="V81" s="49">
        <f t="shared" si="24"/>
        <v>1237.1899999999998</v>
      </c>
      <c r="W81" s="49">
        <f t="shared" si="24"/>
        <v>216.37571999999997</v>
      </c>
      <c r="X81" s="49">
        <f t="shared" si="24"/>
        <v>0</v>
      </c>
      <c r="Y81" s="49">
        <f t="shared" si="24"/>
        <v>1.51</v>
      </c>
      <c r="Z81" s="49">
        <f t="shared" si="24"/>
        <v>0.1</v>
      </c>
      <c r="AA81" s="50">
        <f t="shared" si="24"/>
        <v>6570.4122767295494</v>
      </c>
      <c r="AB81" s="51" t="s">
        <v>1</v>
      </c>
      <c r="AC81" s="52"/>
      <c r="AD81" s="52"/>
      <c r="AE81" s="52"/>
      <c r="AF81" s="52"/>
      <c r="AG81" s="48">
        <f t="shared" ref="AG81:AT81" si="25">SUM(AG8:AG80)</f>
        <v>-1.3031242751537775E-13</v>
      </c>
      <c r="AH81" s="50">
        <f t="shared" si="25"/>
        <v>972.83922879164584</v>
      </c>
      <c r="AI81" s="48">
        <f t="shared" si="25"/>
        <v>0</v>
      </c>
      <c r="AJ81" s="50">
        <f t="shared" si="25"/>
        <v>634.31754977200012</v>
      </c>
      <c r="AK81" s="51">
        <f t="shared" si="25"/>
        <v>3832.2297179031843</v>
      </c>
      <c r="AL81" s="53">
        <f t="shared" si="25"/>
        <v>1716.7757868098788</v>
      </c>
      <c r="AM81" s="49">
        <f t="shared" si="25"/>
        <v>172.22201713907793</v>
      </c>
      <c r="AN81" s="49">
        <f t="shared" si="25"/>
        <v>156.69481799303003</v>
      </c>
      <c r="AO81" s="49">
        <f t="shared" si="25"/>
        <v>123.90948020078804</v>
      </c>
      <c r="AP81" s="49">
        <f t="shared" si="25"/>
        <v>7.2480498207083013</v>
      </c>
      <c r="AQ81" s="49">
        <f t="shared" si="25"/>
        <v>959.87276985255676</v>
      </c>
      <c r="AR81" s="49">
        <f t="shared" si="25"/>
        <v>14.335260847433522</v>
      </c>
      <c r="AS81" s="49">
        <f t="shared" si="25"/>
        <v>195.66969936747316</v>
      </c>
      <c r="AT81" s="50">
        <f t="shared" si="25"/>
        <v>485.50183587223648</v>
      </c>
    </row>
    <row r="82" spans="1:47" ht="15" customHeight="1" x14ac:dyDescent="0.25">
      <c r="A82" s="26">
        <f t="shared" ref="A82:Y82" si="26">A81*A89/1000</f>
        <v>-20.949253687868911</v>
      </c>
      <c r="B82" s="28">
        <f t="shared" si="26"/>
        <v>1.3219199999999998</v>
      </c>
      <c r="C82" s="28">
        <f t="shared" si="26"/>
        <v>0</v>
      </c>
      <c r="D82" s="28">
        <f t="shared" si="26"/>
        <v>0.68756099999999987</v>
      </c>
      <c r="E82" s="28">
        <f t="shared" si="26"/>
        <v>11.127596999999998</v>
      </c>
      <c r="F82" s="28">
        <f t="shared" si="26"/>
        <v>99.021297093086815</v>
      </c>
      <c r="G82" s="28">
        <f t="shared" si="26"/>
        <v>25.394399999999997</v>
      </c>
      <c r="H82" s="28">
        <f t="shared" si="26"/>
        <v>34.498780463240536</v>
      </c>
      <c r="I82" s="28">
        <f t="shared" si="26"/>
        <v>52.867885958131019</v>
      </c>
      <c r="J82" s="27"/>
      <c r="K82" s="27"/>
      <c r="L82" s="27"/>
      <c r="M82" s="28">
        <f t="shared" si="26"/>
        <v>0</v>
      </c>
      <c r="N82" s="28">
        <f t="shared" si="26"/>
        <v>0</v>
      </c>
      <c r="O82" s="28">
        <f t="shared" si="26"/>
        <v>0</v>
      </c>
      <c r="P82" s="28">
        <f t="shared" si="26"/>
        <v>0</v>
      </c>
      <c r="Q82" s="28">
        <v>0</v>
      </c>
      <c r="R82" s="28">
        <f t="shared" si="26"/>
        <v>0</v>
      </c>
      <c r="S82" s="28">
        <f t="shared" si="26"/>
        <v>0</v>
      </c>
      <c r="T82" s="28">
        <f t="shared" si="26"/>
        <v>0</v>
      </c>
      <c r="U82" s="28">
        <f t="shared" si="26"/>
        <v>0</v>
      </c>
      <c r="V82" s="28">
        <f t="shared" si="26"/>
        <v>0</v>
      </c>
      <c r="W82" s="28">
        <f t="shared" si="26"/>
        <v>0</v>
      </c>
      <c r="X82" s="28">
        <f t="shared" si="26"/>
        <v>0</v>
      </c>
      <c r="Y82" s="28">
        <f t="shared" si="26"/>
        <v>0</v>
      </c>
      <c r="Z82" s="28">
        <f>Z81*Z89/1000</f>
        <v>9.444000000000001E-3</v>
      </c>
      <c r="AA82" s="29">
        <f>SUM(A82:Z82)</f>
        <v>203.97963182658944</v>
      </c>
      <c r="AB82" s="54" t="s">
        <v>30</v>
      </c>
      <c r="AC82" s="55">
        <f>AA82*1000/D1</f>
        <v>4.3828885222730865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441</v>
      </c>
      <c r="S83" s="153">
        <v>766</v>
      </c>
      <c r="T83" s="153">
        <v>475</v>
      </c>
      <c r="U83" s="153">
        <v>364.37178342551363</v>
      </c>
      <c r="V83" s="20"/>
      <c r="W83" s="20"/>
      <c r="X83" s="20"/>
      <c r="Y83" s="20"/>
      <c r="Z83" s="20"/>
      <c r="AA83" s="21">
        <f>SUM(A83:Z83)</f>
        <v>2046.3717834255135</v>
      </c>
      <c r="AB83" s="22" t="s">
        <v>653</v>
      </c>
      <c r="AC83" s="677">
        <f>(SUM(M11:Y11)+AG12*A87%+SUM(M16:Y16)+SUM(M17:Y17)+SUM(M18:Y18)+SUM(M19:Y19)+SUM(M22:Y22)+SUM(M61:Y61)+SUM(M62:Y62)+SUM(M63:Y63)+SUM(M65:Y65)+SUM(M66:Y66)+SUM(M67:Y67)+SUM(M68:Y68)+SUM(M69:Y69)+SUM(M71:Y71)+SUM(M72:Y72)+SUM(M73:Y73)+SUM(M75:Y75)+SUM(M76:Y76)+SUM(M77:Y77)+SUM(M79:Y79)+SUM(M80:Y80)+SUM(M23:Y23)*(AC23%+AE23%)+SUM(M24:Y24)*(AC24%+AE24%)+SUM(M25:Y25)*(AC25%+AE25%)+SUM(M26:Y26)*(AC26%+AE26%)+SUM(M28:Y28)*(AC28%+AD28%+AE28%)+SUM(M27:Y27)*(AD27%)+SUM(M29:Y29)*(AC29%+AE29%)+SUM(M30:Y30)*(AC30%+AE30%)+SUM(M31:Y31)*(AC31%+AE31%)+SUM(M34:Y34)*(AC34%+AE34%)+SUM(M35:Y35)*(AC35%+AE35%)+SUM(M37:Y37)*(AC37%+AE37%)+SUM(M38:Y38)*(AC38%+AE38%)+SUM(M39:Y39)*(AC39%+AE39%)+SUM(M41:Y41)*(AC41%+AE41%)+SUM(M42:Y42)*(AC42%+AE42%)+SUM(M44:Y44)*(AC44%+AE44%)+SUM(M45:Y45)*(AC45%+AE45%)+SUM(M46:Y46)*(AC47%+AE47%)+SUM(M48:Y48)*(AC48%+AE48%)+SUM(M49:Y49)*(AC49%+AE49%)+SUM(M50:Y50)*(AC50%+AE50%)+SUM(M52:Y52)*(AC52%+AE52%)+SUM(M53:Y53)*(AC53%+AE53%)+SUM(M54:Y54)*(AC54%+AE54%))/(SUM(AA8:AA11)+SUM(AA13:AA22)+SUM(AA61:AA80)+(AJ33/AF33%+AJ36/AF36%+AJ43/AF43%+AJ51/AF51%+AJ60/AF60%)+AH81+SUM(AH8:AH11)*(1-D2%)+(-AI56))*100</f>
        <v>50.871506415562585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tr">
        <f>IF(M83&gt;0,M81/M83*100,"")</f>
        <v/>
      </c>
      <c r="N84" s="44" t="str">
        <f t="shared" ref="N84:Z84" si="27">IF(N83&gt;0,N81/N83*100,"")</f>
        <v/>
      </c>
      <c r="O84" s="44" t="str">
        <f t="shared" si="27"/>
        <v/>
      </c>
      <c r="P84" s="44" t="str">
        <f t="shared" si="27"/>
        <v/>
      </c>
      <c r="Q84" s="44" t="str">
        <f t="shared" si="27"/>
        <v/>
      </c>
      <c r="R84" s="44">
        <f t="shared" si="27"/>
        <v>35.210535147392292</v>
      </c>
      <c r="S84" s="44">
        <f t="shared" si="27"/>
        <v>16.967612186627786</v>
      </c>
      <c r="T84" s="44">
        <f t="shared" si="27"/>
        <v>20.297204210526314</v>
      </c>
      <c r="U84" s="44">
        <f t="shared" si="27"/>
        <v>156.17564967577394</v>
      </c>
      <c r="V84" s="44" t="str">
        <f t="shared" si="27"/>
        <v/>
      </c>
      <c r="W84" s="44" t="str">
        <f t="shared" si="27"/>
        <v/>
      </c>
      <c r="X84" s="44" t="str">
        <f t="shared" si="27"/>
        <v/>
      </c>
      <c r="Y84" s="44" t="str">
        <f>IF(Y83&gt;0,Y81/Y83*100,"")</f>
        <v/>
      </c>
      <c r="Z84" s="44" t="str">
        <f t="shared" si="27"/>
        <v/>
      </c>
      <c r="AA84" s="45">
        <f>SUMIF(M83:Z83,"&gt;0",M81:Z81)/SUM(M83:Z83)%</f>
        <v>46.458913138360046</v>
      </c>
      <c r="AB84" s="46" t="s">
        <v>12</v>
      </c>
      <c r="AC84" s="151">
        <f>SUM(M81:Y81)/AA81*100</f>
        <v>53.129052825390254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tr">
        <f t="shared" ref="B86:I86" si="28">B7</f>
        <v xml:space="preserve">  LPG og petroleum</v>
      </c>
      <c r="C86" s="754" t="str">
        <f t="shared" si="28"/>
        <v xml:space="preserve">  Kul</v>
      </c>
      <c r="D86" s="754" t="str">
        <f t="shared" si="28"/>
        <v xml:space="preserve">  Fuelolie</v>
      </c>
      <c r="E86" s="754" t="str">
        <f t="shared" si="28"/>
        <v xml:space="preserve">  Brændselsolie</v>
      </c>
      <c r="F86" s="754" t="str">
        <f t="shared" si="28"/>
        <v xml:space="preserve">  Dieselolie</v>
      </c>
      <c r="G86" s="754" t="str">
        <f t="shared" si="28"/>
        <v xml:space="preserve">  JP1</v>
      </c>
      <c r="H86" s="754" t="str">
        <f t="shared" si="28"/>
        <v xml:space="preserve">  Benzin</v>
      </c>
      <c r="I86" s="754" t="str">
        <f t="shared" si="28"/>
        <v xml:space="preserve">  Naturgas</v>
      </c>
      <c r="J86" s="673"/>
      <c r="K86" s="673"/>
      <c r="L86" s="673"/>
      <c r="M86" s="754" t="str">
        <f t="shared" ref="M86:Z86" si="29">M7</f>
        <v xml:space="preserve">  Vindenergi</v>
      </c>
      <c r="N86" s="754" t="str">
        <f t="shared" si="29"/>
        <v xml:space="preserve">  Vandenergi</v>
      </c>
      <c r="O86" s="754" t="str">
        <f t="shared" si="29"/>
        <v xml:space="preserve">  Solenergi</v>
      </c>
      <c r="P86" s="754" t="str">
        <f t="shared" si="29"/>
        <v xml:space="preserve">  Geotermi</v>
      </c>
      <c r="Q86" s="754" t="str">
        <f t="shared" si="29"/>
        <v xml:space="preserve">  Varmekilder til varmepumper</v>
      </c>
      <c r="R86" s="754" t="str">
        <f t="shared" si="29"/>
        <v xml:space="preserve">  Husdyrsgødning</v>
      </c>
      <c r="S86" s="754" t="str">
        <f t="shared" si="29"/>
        <v xml:space="preserve">  Biobrændstof og energiafgrøder</v>
      </c>
      <c r="T86" s="754" t="str">
        <f t="shared" si="29"/>
        <v xml:space="preserve">  Halm</v>
      </c>
      <c r="U86" s="754" t="str">
        <f t="shared" si="29"/>
        <v xml:space="preserve">  Brænde og træflis</v>
      </c>
      <c r="V86" s="754" t="str">
        <f t="shared" si="29"/>
        <v xml:space="preserve">  Træpiller og træaffald</v>
      </c>
      <c r="W86" s="754" t="str">
        <f t="shared" si="29"/>
        <v xml:space="preserve">  Organisk affald, industri</v>
      </c>
      <c r="X86" s="754" t="str">
        <f t="shared" si="29"/>
        <v xml:space="preserve">  Organisk affald, husholdninger</v>
      </c>
      <c r="Y86" s="754" t="str">
        <f t="shared" si="29"/>
        <v xml:space="preserve">  Deponi, slam, renseanlæg</v>
      </c>
      <c r="Z86" s="757" t="str">
        <f t="shared" si="29"/>
        <v xml:space="preserve">  Affald, ikke bionedbrydeligt</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50</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110.92</v>
      </c>
      <c r="B89" s="186">
        <v>64.8</v>
      </c>
      <c r="C89" s="186">
        <v>94.2</v>
      </c>
      <c r="D89" s="186">
        <v>79.03</v>
      </c>
      <c r="E89" s="186">
        <v>74.099999999999994</v>
      </c>
      <c r="F89" s="186">
        <f>E89</f>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BC825-9EA2-47E5-A5AD-1F96BE193CE9}">
  <sheetPr codeName="Ark6">
    <tabColor theme="3" tint="0.59999389629810485"/>
    <pageSetUpPr fitToPage="1"/>
  </sheetPr>
  <dimension ref="A1:AY95"/>
  <sheetViews>
    <sheetView showGridLines="0" showZeros="0" zoomScale="85" zoomScaleNormal="85" workbookViewId="0">
      <selection activeCell="G4" sqref="G4"/>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46641</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92.04</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4" t="s">
        <v>665</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f t="shared" ref="AA8:AA80" si="0">SUM(A8:Z8)</f>
        <v>0</v>
      </c>
      <c r="AB8" s="128" t="s">
        <v>183</v>
      </c>
      <c r="AC8" s="19"/>
      <c r="AD8" s="24">
        <v>85.488818537450356</v>
      </c>
      <c r="AE8" s="20"/>
      <c r="AF8" s="21"/>
      <c r="AG8" s="19">
        <f t="shared" ref="AG8:AG11" si="1">-AH8/$D$2%</f>
        <v>-1022.5193451294109</v>
      </c>
      <c r="AH8" s="25">
        <f>AK8/AD8%</f>
        <v>941.12680525710994</v>
      </c>
      <c r="AI8" s="33"/>
      <c r="AJ8" s="25"/>
      <c r="AK8" s="158">
        <f t="shared" ref="AK8:AK11" si="2">SUM(AL8:AT8)</f>
        <v>804.55818675355454</v>
      </c>
      <c r="AL8" s="153">
        <v>194.22292629651537</v>
      </c>
      <c r="AM8" s="153">
        <v>102.06627360182576</v>
      </c>
      <c r="AN8" s="153">
        <v>45.605797607852111</v>
      </c>
      <c r="AO8" s="153">
        <v>110.63717126999077</v>
      </c>
      <c r="AP8" s="153">
        <v>12.373630755387319</v>
      </c>
      <c r="AQ8" s="153">
        <v>195.74155128270624</v>
      </c>
      <c r="AR8" s="153">
        <v>13.101822698189872</v>
      </c>
      <c r="AS8" s="153">
        <v>130.80901324108717</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f t="shared" si="0"/>
        <v>0</v>
      </c>
      <c r="AB9" s="128" t="s">
        <v>2</v>
      </c>
      <c r="AC9" s="19"/>
      <c r="AD9" s="20"/>
      <c r="AE9" s="20">
        <v>90</v>
      </c>
      <c r="AF9" s="21"/>
      <c r="AG9" s="19">
        <f t="shared" si="1"/>
        <v>-5.3117002269544642</v>
      </c>
      <c r="AH9" s="25">
        <f>AK9/AE9%</f>
        <v>4.8888888888888893</v>
      </c>
      <c r="AI9" s="33"/>
      <c r="AJ9" s="25"/>
      <c r="AK9" s="158">
        <f t="shared" si="2"/>
        <v>4.4000000000000004</v>
      </c>
      <c r="AL9" s="157">
        <v>4.4000000000000004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f t="shared" si="0"/>
        <v>0</v>
      </c>
      <c r="AB10" s="128" t="s">
        <v>3</v>
      </c>
      <c r="AC10" s="19"/>
      <c r="AD10" s="20"/>
      <c r="AE10" s="20">
        <v>100</v>
      </c>
      <c r="AF10" s="21"/>
      <c r="AG10" s="19">
        <f t="shared" si="1"/>
        <v>-22.598870056497173</v>
      </c>
      <c r="AH10" s="25">
        <f>AK10/AE10%</f>
        <v>20.8</v>
      </c>
      <c r="AI10" s="33"/>
      <c r="AJ10" s="25"/>
      <c r="AK10" s="158">
        <f t="shared" si="2"/>
        <v>20.8</v>
      </c>
      <c r="AL10" s="157">
        <v>20.8</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f>AK11-AH11</f>
        <v>7.7999999999999989</v>
      </c>
      <c r="R11" s="20"/>
      <c r="S11" s="20"/>
      <c r="T11" s="20"/>
      <c r="U11" s="20"/>
      <c r="V11" s="20"/>
      <c r="W11" s="20"/>
      <c r="X11" s="20"/>
      <c r="Y11" s="20"/>
      <c r="Z11" s="20"/>
      <c r="AA11" s="21">
        <f t="shared" si="0"/>
        <v>7.7999999999999989</v>
      </c>
      <c r="AB11" s="128" t="s">
        <v>23</v>
      </c>
      <c r="AC11" s="19"/>
      <c r="AD11" s="20"/>
      <c r="AE11" s="20">
        <v>300</v>
      </c>
      <c r="AF11" s="21"/>
      <c r="AG11" s="19">
        <f t="shared" si="1"/>
        <v>-4.2372881355932197</v>
      </c>
      <c r="AH11" s="156">
        <f>AK11/AE11%</f>
        <v>3.9</v>
      </c>
      <c r="AI11" s="33"/>
      <c r="AJ11" s="25"/>
      <c r="AK11" s="158">
        <f t="shared" si="2"/>
        <v>11.7</v>
      </c>
      <c r="AL11" s="699">
        <v>11.7</v>
      </c>
      <c r="AM11" s="24"/>
      <c r="AN11" s="24"/>
      <c r="AO11" s="24"/>
      <c r="AP11" s="24"/>
      <c r="AQ11" s="24"/>
      <c r="AR11" s="24"/>
      <c r="AS11" s="24"/>
      <c r="AT11" s="25"/>
    </row>
    <row r="12" spans="1:51" ht="15" customHeight="1" x14ac:dyDescent="0.2">
      <c r="A12" s="155">
        <f>AC12%*AG12</f>
        <v>-270.90177626901021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f t="shared" si="0"/>
        <v>-270.90177626901021</v>
      </c>
      <c r="AB12" s="128" t="s">
        <v>10</v>
      </c>
      <c r="AC12" s="19">
        <v>100</v>
      </c>
      <c r="AD12" s="20"/>
      <c r="AE12" s="20"/>
      <c r="AF12" s="21"/>
      <c r="AG12" s="19">
        <f>-SUM(AG13:AG80,AG8:AG11)</f>
        <v>-270.90177626901021</v>
      </c>
      <c r="AH12" s="169"/>
      <c r="AI12" s="170"/>
      <c r="AJ12" s="169"/>
      <c r="AK12" s="171">
        <f t="shared" ref="AK12:AK43" si="3">SUM(AL12:AT12)</f>
        <v>0</v>
      </c>
      <c r="AL12" s="170"/>
      <c r="AM12" s="174"/>
      <c r="AN12" s="174"/>
      <c r="AO12" s="174"/>
      <c r="AP12" s="174"/>
      <c r="AQ12" s="174"/>
      <c r="AR12" s="174"/>
      <c r="AS12" s="174"/>
      <c r="AT12" s="169"/>
    </row>
    <row r="13" spans="1:51" ht="15" customHeight="1" x14ac:dyDescent="0.2">
      <c r="A13" s="176"/>
      <c r="B13" s="153">
        <v>19.2</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f t="shared" si="0"/>
        <v>19.2</v>
      </c>
      <c r="AB13" s="178" t="s">
        <v>29</v>
      </c>
      <c r="AC13" s="26"/>
      <c r="AD13" s="28"/>
      <c r="AE13" s="177">
        <v>38</v>
      </c>
      <c r="AF13" s="29"/>
      <c r="AG13" s="26"/>
      <c r="AH13" s="29"/>
      <c r="AI13" s="26"/>
      <c r="AJ13" s="29"/>
      <c r="AK13" s="22">
        <f t="shared" si="3"/>
        <v>7.2959999999999994</v>
      </c>
      <c r="AL13" s="188">
        <f>AA13*AE13%*20%</f>
        <v>1.4592000000000001</v>
      </c>
      <c r="AM13" s="179"/>
      <c r="AN13" s="179"/>
      <c r="AO13" s="179"/>
      <c r="AP13" s="179"/>
      <c r="AQ13" s="179">
        <f>AA13*AE13%*60%</f>
        <v>4.3775999999999993</v>
      </c>
      <c r="AR13" s="179"/>
      <c r="AS13" s="179"/>
      <c r="AT13" s="189">
        <f>AA13*AE13%*20%</f>
        <v>1.4592000000000001</v>
      </c>
    </row>
    <row r="14" spans="1:51" ht="15" customHeight="1" x14ac:dyDescent="0.2">
      <c r="A14" s="19"/>
      <c r="B14" s="174"/>
      <c r="C14" s="20"/>
      <c r="D14" s="20"/>
      <c r="E14" s="153">
        <v>238</v>
      </c>
      <c r="F14" s="174"/>
      <c r="G14" s="174"/>
      <c r="H14" s="174"/>
      <c r="I14" s="174"/>
      <c r="J14" s="24"/>
      <c r="K14" s="24"/>
      <c r="L14" s="24"/>
      <c r="M14" s="20"/>
      <c r="N14" s="20"/>
      <c r="O14" s="20"/>
      <c r="P14" s="20"/>
      <c r="Q14" s="174"/>
      <c r="R14" s="174"/>
      <c r="S14" s="174"/>
      <c r="T14" s="174"/>
      <c r="U14" s="174"/>
      <c r="V14" s="174"/>
      <c r="W14" s="174"/>
      <c r="X14" s="174"/>
      <c r="Y14" s="174"/>
      <c r="Z14" s="174"/>
      <c r="AA14" s="21">
        <f t="shared" si="0"/>
        <v>238</v>
      </c>
      <c r="AB14" s="128" t="s">
        <v>215</v>
      </c>
      <c r="AC14" s="19"/>
      <c r="AD14" s="20"/>
      <c r="AE14" s="174">
        <v>80</v>
      </c>
      <c r="AF14" s="21"/>
      <c r="AG14" s="19"/>
      <c r="AH14" s="21"/>
      <c r="AI14" s="19"/>
      <c r="AJ14" s="21"/>
      <c r="AK14" s="22">
        <f t="shared" si="3"/>
        <v>190.4</v>
      </c>
      <c r="AL14" s="30">
        <f t="shared" ref="AL14:AL19" si="4">AA14*AE14%</f>
        <v>190.4</v>
      </c>
      <c r="AM14" s="20"/>
      <c r="AN14" s="20"/>
      <c r="AO14" s="20"/>
      <c r="AP14" s="20"/>
      <c r="AQ14" s="20"/>
      <c r="AR14" s="20"/>
      <c r="AS14" s="20"/>
      <c r="AT14" s="21"/>
      <c r="AY14" s="23"/>
    </row>
    <row r="15" spans="1:51" ht="15" customHeight="1" x14ac:dyDescent="0.2">
      <c r="A15" s="19"/>
      <c r="B15" s="174"/>
      <c r="C15" s="20"/>
      <c r="D15" s="20"/>
      <c r="E15" s="174"/>
      <c r="F15" s="174"/>
      <c r="G15" s="174"/>
      <c r="H15" s="174"/>
      <c r="I15" s="153">
        <v>303.2</v>
      </c>
      <c r="J15" s="153"/>
      <c r="K15" s="153"/>
      <c r="L15" s="153"/>
      <c r="M15" s="20"/>
      <c r="N15" s="20"/>
      <c r="O15" s="20"/>
      <c r="P15" s="20"/>
      <c r="Q15" s="174"/>
      <c r="R15" s="174"/>
      <c r="S15" s="174"/>
      <c r="T15" s="174"/>
      <c r="U15" s="174"/>
      <c r="V15" s="174"/>
      <c r="W15" s="174"/>
      <c r="X15" s="174"/>
      <c r="Y15" s="174"/>
      <c r="Z15" s="174"/>
      <c r="AA15" s="21">
        <f t="shared" si="0"/>
        <v>303.2</v>
      </c>
      <c r="AB15" s="128" t="s">
        <v>216</v>
      </c>
      <c r="AC15" s="19"/>
      <c r="AD15" s="20"/>
      <c r="AE15" s="174">
        <v>85</v>
      </c>
      <c r="AF15" s="21"/>
      <c r="AG15" s="19"/>
      <c r="AH15" s="21"/>
      <c r="AI15" s="19"/>
      <c r="AJ15" s="21"/>
      <c r="AK15" s="22">
        <f t="shared" si="3"/>
        <v>257.71999999999997</v>
      </c>
      <c r="AL15" s="30">
        <f t="shared" si="4"/>
        <v>257.71999999999997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394</v>
      </c>
      <c r="W16" s="174"/>
      <c r="X16" s="174"/>
      <c r="Y16" s="174"/>
      <c r="Z16" s="174"/>
      <c r="AA16" s="21">
        <f t="shared" si="0"/>
        <v>394</v>
      </c>
      <c r="AB16" s="128" t="s">
        <v>217</v>
      </c>
      <c r="AC16" s="19"/>
      <c r="AD16" s="20"/>
      <c r="AE16" s="174">
        <v>75</v>
      </c>
      <c r="AF16" s="21"/>
      <c r="AG16" s="19"/>
      <c r="AH16" s="21"/>
      <c r="AI16" s="19"/>
      <c r="AJ16" s="21"/>
      <c r="AK16" s="22">
        <f t="shared" si="3"/>
        <v>295.5</v>
      </c>
      <c r="AL16" s="30">
        <f t="shared" si="4"/>
        <v>295.5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675</v>
      </c>
      <c r="V17" s="2"/>
      <c r="W17" s="174"/>
      <c r="X17" s="174"/>
      <c r="Y17" s="174"/>
      <c r="Z17" s="174"/>
      <c r="AA17" s="21">
        <f t="shared" si="0"/>
        <v>675</v>
      </c>
      <c r="AB17" s="128" t="s">
        <v>218</v>
      </c>
      <c r="AC17" s="19"/>
      <c r="AD17" s="20"/>
      <c r="AE17" s="174">
        <v>65</v>
      </c>
      <c r="AF17" s="21"/>
      <c r="AG17" s="19"/>
      <c r="AH17" s="21"/>
      <c r="AI17" s="19"/>
      <c r="AJ17" s="21"/>
      <c r="AK17" s="22">
        <f t="shared" si="3"/>
        <v>438.75</v>
      </c>
      <c r="AL17" s="30">
        <f t="shared" si="4"/>
        <v>438.75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80</v>
      </c>
      <c r="U18" s="2"/>
      <c r="V18" s="2"/>
      <c r="W18" s="174"/>
      <c r="X18" s="174"/>
      <c r="Y18" s="174"/>
      <c r="Z18" s="174"/>
      <c r="AA18" s="21">
        <f t="shared" si="0"/>
        <v>80</v>
      </c>
      <c r="AB18" s="128" t="s">
        <v>219</v>
      </c>
      <c r="AC18" s="19"/>
      <c r="AD18" s="20"/>
      <c r="AE18" s="174">
        <v>65</v>
      </c>
      <c r="AF18" s="21"/>
      <c r="AG18" s="19"/>
      <c r="AH18" s="21"/>
      <c r="AI18" s="19"/>
      <c r="AJ18" s="21"/>
      <c r="AK18" s="22">
        <f t="shared" si="3"/>
        <v>52</v>
      </c>
      <c r="AL18" s="30">
        <f t="shared" si="4"/>
        <v>52</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7.6</v>
      </c>
      <c r="P19" s="20"/>
      <c r="Q19" s="174"/>
      <c r="R19" s="174"/>
      <c r="S19" s="174"/>
      <c r="T19" s="174"/>
      <c r="U19" s="174"/>
      <c r="V19" s="174"/>
      <c r="W19" s="174"/>
      <c r="X19" s="174"/>
      <c r="Y19" s="174"/>
      <c r="Z19" s="174"/>
      <c r="AA19" s="21">
        <f t="shared" si="0"/>
        <v>7.6</v>
      </c>
      <c r="AB19" s="128" t="s">
        <v>220</v>
      </c>
      <c r="AC19" s="19"/>
      <c r="AD19" s="20"/>
      <c r="AE19" s="20">
        <v>100</v>
      </c>
      <c r="AF19" s="21"/>
      <c r="AG19" s="19"/>
      <c r="AH19" s="21"/>
      <c r="AI19" s="19"/>
      <c r="AJ19" s="21"/>
      <c r="AK19" s="22">
        <f t="shared" si="3"/>
        <v>7.6</v>
      </c>
      <c r="AL19" s="30">
        <f t="shared" si="4"/>
        <v>7.6</v>
      </c>
      <c r="AM19" s="20"/>
      <c r="AN19" s="20"/>
      <c r="AO19" s="20"/>
      <c r="AP19" s="20"/>
      <c r="AQ19" s="20"/>
      <c r="AR19" s="20"/>
      <c r="AS19" s="20"/>
      <c r="AT19" s="21"/>
      <c r="AY19" s="23"/>
    </row>
    <row r="20" spans="1:51" ht="15" customHeight="1" x14ac:dyDescent="0.2">
      <c r="A20" s="19"/>
      <c r="B20" s="20"/>
      <c r="C20" s="174"/>
      <c r="D20" s="174"/>
      <c r="E20" s="153">
        <v>31.1</v>
      </c>
      <c r="F20" s="174"/>
      <c r="G20" s="174"/>
      <c r="H20" s="174"/>
      <c r="I20" s="2"/>
      <c r="J20" s="2"/>
      <c r="K20" s="2"/>
      <c r="L20" s="2"/>
      <c r="M20" s="174"/>
      <c r="N20" s="174"/>
      <c r="O20" s="174"/>
      <c r="P20" s="174"/>
      <c r="Q20" s="174"/>
      <c r="R20" s="174"/>
      <c r="S20" s="174"/>
      <c r="T20" s="174"/>
      <c r="U20" s="174"/>
      <c r="V20" s="174"/>
      <c r="W20" s="174"/>
      <c r="X20" s="174"/>
      <c r="Y20" s="174"/>
      <c r="Z20" s="174"/>
      <c r="AA20" s="21">
        <f t="shared" si="0"/>
        <v>31.1</v>
      </c>
      <c r="AB20" s="128" t="s">
        <v>24</v>
      </c>
      <c r="AC20" s="19"/>
      <c r="AD20" s="20">
        <v>90</v>
      </c>
      <c r="AE20" s="20"/>
      <c r="AF20" s="21"/>
      <c r="AG20" s="19"/>
      <c r="AH20" s="21"/>
      <c r="AI20" s="19"/>
      <c r="AJ20" s="21"/>
      <c r="AK20" s="22">
        <f t="shared" si="3"/>
        <v>27.990000000000002</v>
      </c>
      <c r="AL20" s="30"/>
      <c r="AM20" s="20"/>
      <c r="AN20" s="20"/>
      <c r="AO20" s="20"/>
      <c r="AP20" s="20"/>
      <c r="AQ20" s="20">
        <f>AA20*AD20%</f>
        <v>27.990000000000002</v>
      </c>
      <c r="AR20" s="20"/>
      <c r="AS20" s="20"/>
      <c r="AT20" s="21"/>
      <c r="AV20" s="23"/>
    </row>
    <row r="21" spans="1:51" ht="15" customHeight="1" x14ac:dyDescent="0.2">
      <c r="A21" s="19"/>
      <c r="B21" s="20"/>
      <c r="C21" s="174"/>
      <c r="D21" s="174"/>
      <c r="E21" s="174"/>
      <c r="F21" s="174"/>
      <c r="G21" s="174"/>
      <c r="H21" s="174"/>
      <c r="I21" s="153">
        <v>568.5</v>
      </c>
      <c r="J21" s="153"/>
      <c r="K21" s="153"/>
      <c r="L21" s="153"/>
      <c r="M21" s="174"/>
      <c r="N21" s="174"/>
      <c r="O21" s="174"/>
      <c r="P21" s="174"/>
      <c r="Q21" s="174"/>
      <c r="R21" s="174"/>
      <c r="S21" s="174"/>
      <c r="T21" s="174"/>
      <c r="U21" s="174"/>
      <c r="V21" s="174"/>
      <c r="W21" s="174"/>
      <c r="X21" s="174"/>
      <c r="Y21" s="174"/>
      <c r="Z21" s="174"/>
      <c r="AA21" s="21">
        <f t="shared" si="0"/>
        <v>568.5</v>
      </c>
      <c r="AB21" s="128" t="s">
        <v>25</v>
      </c>
      <c r="AC21" s="19"/>
      <c r="AD21" s="20">
        <v>90</v>
      </c>
      <c r="AE21" s="20"/>
      <c r="AF21" s="21"/>
      <c r="AG21" s="19"/>
      <c r="AH21" s="21"/>
      <c r="AI21" s="19"/>
      <c r="AJ21" s="21"/>
      <c r="AK21" s="22">
        <f t="shared" si="3"/>
        <v>511.65000000000003</v>
      </c>
      <c r="AL21" s="30"/>
      <c r="AM21" s="20"/>
      <c r="AN21" s="20"/>
      <c r="AO21" s="20"/>
      <c r="AP21" s="20"/>
      <c r="AQ21" s="20">
        <f>AA21*AD21%</f>
        <v>511.65000000000003</v>
      </c>
      <c r="AR21" s="20"/>
      <c r="AS21" s="20"/>
      <c r="AT21" s="21"/>
      <c r="AV21" s="23"/>
    </row>
    <row r="22" spans="1:51" ht="15" customHeight="1" x14ac:dyDescent="0.2">
      <c r="A22" s="19"/>
      <c r="B22" s="20"/>
      <c r="C22" s="153">
        <v>0</v>
      </c>
      <c r="D22" s="153">
        <v>135.1</v>
      </c>
      <c r="E22" s="153">
        <v>0</v>
      </c>
      <c r="F22" s="153">
        <v>0</v>
      </c>
      <c r="G22" s="2"/>
      <c r="H22" s="153">
        <v>0</v>
      </c>
      <c r="I22" s="153">
        <v>0</v>
      </c>
      <c r="J22" s="2"/>
      <c r="K22" s="2"/>
      <c r="L22" s="2"/>
      <c r="M22" s="2"/>
      <c r="N22" s="2"/>
      <c r="O22" s="2"/>
      <c r="P22" s="2"/>
      <c r="Q22" s="2"/>
      <c r="R22" s="153">
        <v>0</v>
      </c>
      <c r="S22" s="153">
        <v>0</v>
      </c>
      <c r="T22" s="153">
        <v>0</v>
      </c>
      <c r="U22" s="153">
        <v>0</v>
      </c>
      <c r="V22" s="153">
        <v>2.1</v>
      </c>
      <c r="W22" s="153">
        <v>0</v>
      </c>
      <c r="X22" s="153">
        <v>0</v>
      </c>
      <c r="Y22" s="153">
        <v>0</v>
      </c>
      <c r="Z22" s="153">
        <v>0</v>
      </c>
      <c r="AA22" s="21">
        <f t="shared" si="0"/>
        <v>137.19999999999999</v>
      </c>
      <c r="AB22" s="128" t="s">
        <v>637</v>
      </c>
      <c r="AC22" s="19"/>
      <c r="AD22" s="20">
        <v>90</v>
      </c>
      <c r="AE22" s="20"/>
      <c r="AF22" s="21"/>
      <c r="AG22" s="19"/>
      <c r="AH22" s="21"/>
      <c r="AI22" s="19"/>
      <c r="AJ22" s="21"/>
      <c r="AK22" s="22">
        <f t="shared" si="3"/>
        <v>123.47999999999999</v>
      </c>
      <c r="AL22" s="175"/>
      <c r="AM22" s="174"/>
      <c r="AN22" s="174"/>
      <c r="AO22" s="174"/>
      <c r="AP22" s="174"/>
      <c r="AQ22" s="174">
        <f>AA22*AD22%</f>
        <v>123.47999999999999</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39</v>
      </c>
      <c r="P23" s="174"/>
      <c r="Q23" s="174"/>
      <c r="R23" s="174"/>
      <c r="S23" s="174"/>
      <c r="T23" s="174"/>
      <c r="U23" s="174"/>
      <c r="V23" s="174"/>
      <c r="W23" s="174"/>
      <c r="X23" s="174"/>
      <c r="Y23" s="174"/>
      <c r="Z23" s="174"/>
      <c r="AA23" s="21">
        <f t="shared" si="0"/>
        <v>39</v>
      </c>
      <c r="AB23" s="128" t="s">
        <v>14</v>
      </c>
      <c r="AC23" s="20">
        <v>100</v>
      </c>
      <c r="AD23" s="20"/>
      <c r="AE23" s="20"/>
      <c r="AF23" s="21"/>
      <c r="AG23" s="19">
        <f>AA23*AC23/100</f>
        <v>39</v>
      </c>
      <c r="AH23" s="21"/>
      <c r="AI23" s="19"/>
      <c r="AJ23" s="21"/>
      <c r="AK23" s="22">
        <f t="shared" si="3"/>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1139.7</v>
      </c>
      <c r="N24" s="174"/>
      <c r="O24" s="174"/>
      <c r="P24" s="174"/>
      <c r="Q24" s="174"/>
      <c r="R24" s="174"/>
      <c r="S24" s="174"/>
      <c r="T24" s="174"/>
      <c r="U24" s="174"/>
      <c r="V24" s="174"/>
      <c r="W24" s="174"/>
      <c r="X24" s="174"/>
      <c r="Y24" s="174"/>
      <c r="Z24" s="174"/>
      <c r="AA24" s="21">
        <f t="shared" si="0"/>
        <v>1139.7</v>
      </c>
      <c r="AB24" s="128" t="s">
        <v>26</v>
      </c>
      <c r="AC24" s="20">
        <v>100</v>
      </c>
      <c r="AD24" s="20"/>
      <c r="AE24" s="20"/>
      <c r="AF24" s="21"/>
      <c r="AG24" s="19">
        <f>AC24*AA24/100</f>
        <v>1139.7</v>
      </c>
      <c r="AH24" s="21"/>
      <c r="AI24" s="19"/>
      <c r="AJ24" s="21"/>
      <c r="AK24" s="22">
        <f t="shared" si="3"/>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f t="shared" si="0"/>
        <v>0</v>
      </c>
      <c r="AB25" s="128" t="s">
        <v>75</v>
      </c>
      <c r="AC25" s="170">
        <v>100</v>
      </c>
      <c r="AD25" s="174"/>
      <c r="AE25" s="174"/>
      <c r="AF25" s="169"/>
      <c r="AG25" s="170">
        <f>AC25*AA25/100</f>
        <v>0</v>
      </c>
      <c r="AH25" s="169"/>
      <c r="AI25" s="19"/>
      <c r="AJ25" s="21"/>
      <c r="AK25" s="22">
        <f t="shared" si="3"/>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f t="shared" si="0"/>
        <v>0</v>
      </c>
      <c r="AB26" s="128" t="s">
        <v>638</v>
      </c>
      <c r="AC26" s="153">
        <v>100</v>
      </c>
      <c r="AD26" s="174"/>
      <c r="AE26" s="174"/>
      <c r="AF26" s="169"/>
      <c r="AG26" s="170">
        <f>AC26*AA26/100</f>
        <v>0</v>
      </c>
      <c r="AH26" s="169"/>
      <c r="AI26" s="19"/>
      <c r="AJ26" s="21"/>
      <c r="AK26" s="22">
        <f t="shared" si="3"/>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-141.19999999999999</v>
      </c>
      <c r="J27" s="153"/>
      <c r="K27" s="153"/>
      <c r="L27" s="153"/>
      <c r="M27" s="174"/>
      <c r="N27" s="174"/>
      <c r="O27" s="174"/>
      <c r="P27" s="174"/>
      <c r="Q27" s="174"/>
      <c r="R27" s="24">
        <f>-(I27*33.3%)/AD27%</f>
        <v>47.01959999999999</v>
      </c>
      <c r="S27" s="24">
        <f>-(I27*10.5%)/AD27%</f>
        <v>14.825999999999999</v>
      </c>
      <c r="T27" s="24">
        <f>-(I27*6.6%)/AD27%</f>
        <v>9.3192000000000004</v>
      </c>
      <c r="U27" s="24"/>
      <c r="V27" s="24"/>
      <c r="W27" s="24">
        <f>-(I27*49.6%)/AD27%</f>
        <v>70.035199999999989</v>
      </c>
      <c r="X27" s="172"/>
      <c r="Y27" s="172"/>
      <c r="Z27" s="172"/>
      <c r="AA27" s="21">
        <f t="shared" si="0"/>
        <v>0</v>
      </c>
      <c r="AB27" s="129" t="s">
        <v>174</v>
      </c>
      <c r="AC27" s="180"/>
      <c r="AD27" s="172">
        <v>100</v>
      </c>
      <c r="AE27" s="172"/>
      <c r="AF27" s="173"/>
      <c r="AG27" s="181"/>
      <c r="AH27" s="173"/>
      <c r="AI27" s="6"/>
      <c r="AJ27" s="7"/>
      <c r="AK27" s="22">
        <f t="shared" si="3"/>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f>AA28*46%</f>
        <v>0</v>
      </c>
      <c r="S28" s="2"/>
      <c r="T28" s="2"/>
      <c r="U28" s="2"/>
      <c r="V28" s="2"/>
      <c r="W28" s="153">
        <f>AA28*54%</f>
        <v>0</v>
      </c>
      <c r="X28" s="172"/>
      <c r="Y28" s="172"/>
      <c r="Z28" s="172"/>
      <c r="AA28" s="25">
        <v>0</v>
      </c>
      <c r="AB28" s="129" t="s">
        <v>173</v>
      </c>
      <c r="AC28" s="153">
        <v>34.200000000000003</v>
      </c>
      <c r="AD28" s="2"/>
      <c r="AE28" s="172"/>
      <c r="AF28" s="173"/>
      <c r="AG28" s="170">
        <f>AA28*AC28/100</f>
        <v>0</v>
      </c>
      <c r="AH28" s="169"/>
      <c r="AI28" s="170">
        <f>AA28*AE28/100</f>
        <v>0</v>
      </c>
      <c r="AJ28" s="169"/>
      <c r="AK28" s="22">
        <f t="shared" si="3"/>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f t="shared" si="0"/>
        <v>0</v>
      </c>
      <c r="AB29" s="129" t="s">
        <v>184</v>
      </c>
      <c r="AC29" s="155">
        <v>0</v>
      </c>
      <c r="AD29" s="172"/>
      <c r="AE29" s="153">
        <v>0</v>
      </c>
      <c r="AF29" s="169"/>
      <c r="AG29" s="170">
        <f>AA29*AC29/100</f>
        <v>0</v>
      </c>
      <c r="AH29" s="169"/>
      <c r="AI29" s="19">
        <f>AA29*AE29/100</f>
        <v>0</v>
      </c>
      <c r="AJ29" s="21"/>
      <c r="AK29" s="22">
        <f t="shared" si="3"/>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f t="shared" si="0"/>
        <v>0</v>
      </c>
      <c r="AB30" s="129" t="s">
        <v>13</v>
      </c>
      <c r="AC30" s="181"/>
      <c r="AD30" s="172"/>
      <c r="AE30" s="153">
        <v>0</v>
      </c>
      <c r="AF30" s="169"/>
      <c r="AG30" s="170"/>
      <c r="AH30" s="169"/>
      <c r="AI30" s="19">
        <f>AA30*AE30/100</f>
        <v>0</v>
      </c>
      <c r="AJ30" s="21"/>
      <c r="AK30" s="22">
        <f t="shared" si="3"/>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f>AI31-AH31</f>
        <v>0</v>
      </c>
      <c r="R31" s="172"/>
      <c r="S31" s="172"/>
      <c r="T31" s="172"/>
      <c r="U31" s="172"/>
      <c r="V31" s="172"/>
      <c r="W31" s="172"/>
      <c r="X31" s="172"/>
      <c r="Y31" s="172"/>
      <c r="Z31" s="172"/>
      <c r="AA31" s="21">
        <f t="shared" si="0"/>
        <v>0</v>
      </c>
      <c r="AB31" s="129" t="s">
        <v>171</v>
      </c>
      <c r="AC31" s="170"/>
      <c r="AD31" s="174"/>
      <c r="AE31" s="24">
        <v>300</v>
      </c>
      <c r="AF31" s="169"/>
      <c r="AG31" s="181">
        <f>-AH31/$D$2%</f>
        <v>0</v>
      </c>
      <c r="AH31" s="700">
        <v>0</v>
      </c>
      <c r="AI31" s="182">
        <f>AH31*AE31%</f>
        <v>0</v>
      </c>
      <c r="AJ31" s="7"/>
      <c r="AK31" s="22">
        <f t="shared" si="3"/>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f t="shared" si="0"/>
        <v>0</v>
      </c>
      <c r="AB32" s="129" t="s">
        <v>172</v>
      </c>
      <c r="AC32" s="170"/>
      <c r="AD32" s="174"/>
      <c r="AE32" s="24">
        <v>100</v>
      </c>
      <c r="AF32" s="169"/>
      <c r="AG32" s="181">
        <f>-AH32/$D$2%</f>
        <v>0</v>
      </c>
      <c r="AH32" s="700">
        <v>0</v>
      </c>
      <c r="AI32" s="170">
        <f>AH32*AE32%</f>
        <v>0</v>
      </c>
      <c r="AJ32" s="7"/>
      <c r="AK32" s="22">
        <f t="shared" si="3"/>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f t="shared" si="0"/>
        <v>0</v>
      </c>
      <c r="AB33" s="129" t="s">
        <v>27</v>
      </c>
      <c r="AC33" s="181"/>
      <c r="AD33" s="172"/>
      <c r="AE33" s="172"/>
      <c r="AF33" s="156">
        <v>77.3</v>
      </c>
      <c r="AG33" s="170"/>
      <c r="AH33" s="169"/>
      <c r="AI33" s="19">
        <f>-SUM(AI29:AI32)</f>
        <v>0</v>
      </c>
      <c r="AJ33" s="21">
        <f>-AI33*AF33%</f>
        <v>0</v>
      </c>
      <c r="AK33" s="22">
        <f>SUM(AL33:AT33)</f>
        <v>0</v>
      </c>
      <c r="AL33" s="30">
        <f>AJ33*65.7%</f>
        <v>0</v>
      </c>
      <c r="AM33" s="30">
        <f>AJ33*10%</f>
        <v>0</v>
      </c>
      <c r="AN33" s="20">
        <f>AJ33*13.4%</f>
        <v>0</v>
      </c>
      <c r="AO33" s="20">
        <f>AJ33*7.1%</f>
        <v>0</v>
      </c>
      <c r="AP33" s="20">
        <f>AJ33*0%</f>
        <v>0</v>
      </c>
      <c r="AQ33" s="20">
        <f>AJ33*2.3%</f>
        <v>0</v>
      </c>
      <c r="AR33" s="20">
        <f>AJ33*1.5%</f>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f t="shared" si="0"/>
        <v>0</v>
      </c>
      <c r="AB34" s="129" t="s">
        <v>185</v>
      </c>
      <c r="AC34" s="155">
        <v>0</v>
      </c>
      <c r="AD34" s="172"/>
      <c r="AE34" s="153">
        <v>0</v>
      </c>
      <c r="AF34" s="173"/>
      <c r="AG34" s="170">
        <f>AA34*AC34/100</f>
        <v>0</v>
      </c>
      <c r="AH34" s="169"/>
      <c r="AI34" s="19">
        <f>AA34*AE34/100</f>
        <v>0</v>
      </c>
      <c r="AJ34" s="21"/>
      <c r="AK34" s="22">
        <f t="shared" si="3"/>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f t="shared" si="0"/>
        <v>0</v>
      </c>
      <c r="AB35" s="129" t="s">
        <v>7</v>
      </c>
      <c r="AC35" s="181"/>
      <c r="AD35" s="172"/>
      <c r="AE35" s="153">
        <v>0</v>
      </c>
      <c r="AF35" s="173"/>
      <c r="AG35" s="170">
        <f>AA35*AC35/100</f>
        <v>0</v>
      </c>
      <c r="AH35" s="169"/>
      <c r="AI35" s="19">
        <f>AA35*AE35/100</f>
        <v>0</v>
      </c>
      <c r="AJ35" s="21"/>
      <c r="AK35" s="22">
        <f t="shared" si="3"/>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f t="shared" si="0"/>
        <v>0</v>
      </c>
      <c r="AB36" s="130" t="s">
        <v>28</v>
      </c>
      <c r="AC36" s="181"/>
      <c r="AD36" s="172"/>
      <c r="AE36" s="172"/>
      <c r="AF36" s="156">
        <v>77.3</v>
      </c>
      <c r="AG36" s="170"/>
      <c r="AH36" s="169"/>
      <c r="AI36" s="19">
        <f>-SUM(AI34:AI35)</f>
        <v>0</v>
      </c>
      <c r="AJ36" s="21">
        <f>-AI36*AF36%</f>
        <v>0</v>
      </c>
      <c r="AK36" s="22">
        <f t="shared" si="3"/>
        <v>0</v>
      </c>
      <c r="AL36" s="30">
        <f>AJ36*65.7%</f>
        <v>0</v>
      </c>
      <c r="AM36" s="30">
        <f>AJ36*10%</f>
        <v>0</v>
      </c>
      <c r="AN36" s="20">
        <f>AJ36*13.4%</f>
        <v>0</v>
      </c>
      <c r="AO36" s="20">
        <f>AJ36*7.1%</f>
        <v>0</v>
      </c>
      <c r="AP36" s="20">
        <f>AJ36*0%</f>
        <v>0</v>
      </c>
      <c r="AQ36" s="20">
        <f>AJ36*2.3%</f>
        <v>0</v>
      </c>
      <c r="AR36" s="20">
        <f>AJ36*1.5%</f>
        <v>0</v>
      </c>
      <c r="AS36" s="153"/>
      <c r="AT36" s="21"/>
    </row>
    <row r="37" spans="1:47" ht="15" customHeight="1" x14ac:dyDescent="0.2">
      <c r="A37" s="20"/>
      <c r="B37" s="153">
        <v>0</v>
      </c>
      <c r="C37" s="153">
        <v>0</v>
      </c>
      <c r="D37" s="153">
        <v>0</v>
      </c>
      <c r="E37" s="153">
        <v>0</v>
      </c>
      <c r="F37" s="153">
        <v>0</v>
      </c>
      <c r="G37" s="153">
        <v>0</v>
      </c>
      <c r="H37" s="153">
        <v>0</v>
      </c>
      <c r="I37" s="153">
        <v>30</v>
      </c>
      <c r="J37" s="692"/>
      <c r="K37" s="153"/>
      <c r="L37" s="153"/>
      <c r="M37" s="153">
        <v>0</v>
      </c>
      <c r="N37" s="153">
        <v>0</v>
      </c>
      <c r="O37" s="153">
        <v>0</v>
      </c>
      <c r="P37" s="153">
        <v>0</v>
      </c>
      <c r="Q37" s="153">
        <v>0</v>
      </c>
      <c r="R37" s="153">
        <v>0</v>
      </c>
      <c r="S37" s="153">
        <v>0</v>
      </c>
      <c r="T37" s="153">
        <v>0</v>
      </c>
      <c r="U37" s="153">
        <v>0</v>
      </c>
      <c r="V37" s="153">
        <v>416.7</v>
      </c>
      <c r="W37" s="153">
        <v>0</v>
      </c>
      <c r="X37" s="153">
        <v>0</v>
      </c>
      <c r="Y37" s="153">
        <v>2.2999999999999998</v>
      </c>
      <c r="Z37" s="153">
        <v>0</v>
      </c>
      <c r="AA37" s="21">
        <f t="shared" si="0"/>
        <v>449</v>
      </c>
      <c r="AB37" s="130" t="s">
        <v>186</v>
      </c>
      <c r="AC37" s="155">
        <v>28.318953229398662</v>
      </c>
      <c r="AD37" s="172"/>
      <c r="AE37" s="153">
        <v>56.310066815144765</v>
      </c>
      <c r="AF37" s="173"/>
      <c r="AG37" s="19">
        <f>AA37*AC37/100</f>
        <v>127.15209999999999</v>
      </c>
      <c r="AH37" s="21"/>
      <c r="AI37" s="19">
        <f t="shared" ref="AI37" si="5">AA37*AE37/100</f>
        <v>252.8322</v>
      </c>
      <c r="AJ37" s="21"/>
      <c r="AK37" s="22">
        <f t="shared" si="3"/>
        <v>0</v>
      </c>
      <c r="AL37" s="175"/>
      <c r="AM37" s="174"/>
      <c r="AN37" s="174"/>
      <c r="AO37" s="174"/>
      <c r="AP37" s="174"/>
      <c r="AQ37" s="174"/>
      <c r="AR37" s="174"/>
      <c r="AS37" s="174"/>
      <c r="AT37" s="21"/>
    </row>
    <row r="38" spans="1:47" ht="15" customHeight="1" x14ac:dyDescent="0.2">
      <c r="A38" s="20"/>
      <c r="B38" s="153">
        <v>0</v>
      </c>
      <c r="C38" s="153">
        <v>0</v>
      </c>
      <c r="D38" s="153">
        <v>0</v>
      </c>
      <c r="E38" s="153">
        <v>3.3</v>
      </c>
      <c r="F38" s="153">
        <v>0</v>
      </c>
      <c r="G38" s="153">
        <v>0</v>
      </c>
      <c r="H38" s="153">
        <v>0</v>
      </c>
      <c r="I38" s="153">
        <v>138.6</v>
      </c>
      <c r="J38" s="31"/>
      <c r="K38" s="153"/>
      <c r="L38" s="153"/>
      <c r="M38" s="153">
        <v>0</v>
      </c>
      <c r="N38" s="153">
        <v>0</v>
      </c>
      <c r="O38" s="153">
        <v>0</v>
      </c>
      <c r="P38" s="153">
        <v>0</v>
      </c>
      <c r="Q38" s="153">
        <v>0</v>
      </c>
      <c r="R38" s="153">
        <v>0</v>
      </c>
      <c r="S38" s="153">
        <v>13.8</v>
      </c>
      <c r="T38" s="153">
        <v>0</v>
      </c>
      <c r="U38" s="153">
        <v>85.2</v>
      </c>
      <c r="V38" s="153">
        <v>376</v>
      </c>
      <c r="W38" s="153">
        <v>0</v>
      </c>
      <c r="X38" s="153">
        <v>0</v>
      </c>
      <c r="Y38" s="153">
        <v>0</v>
      </c>
      <c r="Z38" s="153">
        <v>0</v>
      </c>
      <c r="AA38" s="21">
        <f t="shared" si="0"/>
        <v>616.90000000000009</v>
      </c>
      <c r="AB38" s="130" t="s">
        <v>209</v>
      </c>
      <c r="AC38" s="181"/>
      <c r="AD38" s="172"/>
      <c r="AE38" s="153">
        <v>91.439698492462313</v>
      </c>
      <c r="AF38" s="173"/>
      <c r="AG38" s="19">
        <f>AA38*AC38/100</f>
        <v>0</v>
      </c>
      <c r="AH38" s="21"/>
      <c r="AI38" s="19">
        <f>AA38*AE38/100</f>
        <v>564.09150000000011</v>
      </c>
      <c r="AJ38" s="21"/>
      <c r="AK38" s="22">
        <f t="shared" si="3"/>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f>AI39-AH39</f>
        <v>0</v>
      </c>
      <c r="R39" s="2"/>
      <c r="S39" s="2"/>
      <c r="T39" s="2"/>
      <c r="U39" s="2"/>
      <c r="V39" s="2"/>
      <c r="W39" s="2"/>
      <c r="X39" s="2"/>
      <c r="Y39" s="2"/>
      <c r="Z39" s="2"/>
      <c r="AA39" s="21">
        <f t="shared" si="0"/>
        <v>0</v>
      </c>
      <c r="AB39" s="130" t="s">
        <v>210</v>
      </c>
      <c r="AC39" s="170"/>
      <c r="AD39" s="174"/>
      <c r="AE39" s="153">
        <v>0</v>
      </c>
      <c r="AF39" s="169"/>
      <c r="AG39" s="181">
        <f>-AH39/$D$2%</f>
        <v>0</v>
      </c>
      <c r="AH39" s="700">
        <v>0</v>
      </c>
      <c r="AI39" s="170">
        <f>(AH39+I39)*AE39%</f>
        <v>0</v>
      </c>
      <c r="AJ39" s="173"/>
      <c r="AK39" s="22">
        <f t="shared" si="3"/>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f t="shared" si="0"/>
        <v>0</v>
      </c>
      <c r="AB40" s="130" t="s">
        <v>211</v>
      </c>
      <c r="AC40" s="170"/>
      <c r="AD40" s="174"/>
      <c r="AE40" s="153">
        <v>0</v>
      </c>
      <c r="AF40" s="169"/>
      <c r="AG40" s="181">
        <f>-AH40/$D$2%</f>
        <v>0</v>
      </c>
      <c r="AH40" s="700">
        <v>0</v>
      </c>
      <c r="AI40" s="181">
        <f>AH40*AE40%</f>
        <v>0</v>
      </c>
      <c r="AJ40" s="173"/>
      <c r="AK40" s="22">
        <f t="shared" si="3"/>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f t="shared" si="0"/>
        <v>0</v>
      </c>
      <c r="AB41" s="130" t="s">
        <v>212</v>
      </c>
      <c r="AC41" s="181"/>
      <c r="AD41" s="172"/>
      <c r="AE41" s="153">
        <v>0</v>
      </c>
      <c r="AF41" s="173"/>
      <c r="AG41" s="19"/>
      <c r="AH41" s="21"/>
      <c r="AI41" s="19">
        <f t="shared" ref="AI41:AI42" si="6">AA41*AE41/100</f>
        <v>0</v>
      </c>
      <c r="AJ41" s="21"/>
      <c r="AK41" s="22">
        <f t="shared" si="3"/>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f t="shared" si="0"/>
        <v>0</v>
      </c>
      <c r="AB42" s="130" t="s">
        <v>213</v>
      </c>
      <c r="AC42" s="181"/>
      <c r="AD42" s="172"/>
      <c r="AE42" s="153">
        <v>100</v>
      </c>
      <c r="AF42" s="173"/>
      <c r="AG42" s="19">
        <f>AA42*AC42/100</f>
        <v>0</v>
      </c>
      <c r="AH42" s="21"/>
      <c r="AI42" s="19">
        <f t="shared" si="6"/>
        <v>0</v>
      </c>
      <c r="AJ42" s="21"/>
      <c r="AK42" s="22">
        <f t="shared" si="3"/>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f t="shared" si="0"/>
        <v>0</v>
      </c>
      <c r="AB43" s="130" t="s">
        <v>214</v>
      </c>
      <c r="AC43" s="181"/>
      <c r="AD43" s="172"/>
      <c r="AE43" s="172"/>
      <c r="AF43" s="156">
        <v>77.3</v>
      </c>
      <c r="AG43" s="170"/>
      <c r="AH43" s="169"/>
      <c r="AI43" s="170">
        <f>-SUM(AI37:AI42)</f>
        <v>-816.92370000000005</v>
      </c>
      <c r="AJ43" s="169">
        <f>-AI43*AF43%</f>
        <v>631.48202010000011</v>
      </c>
      <c r="AK43" s="22">
        <f t="shared" si="3"/>
        <v>631.48202010000011</v>
      </c>
      <c r="AL43" s="30">
        <f>AJ43*65.7%</f>
        <v>414.88368720570008</v>
      </c>
      <c r="AM43" s="30">
        <f>AJ43*10%</f>
        <v>63.148202010000013</v>
      </c>
      <c r="AN43" s="20">
        <f>AJ43*13.4%</f>
        <v>84.618590693400023</v>
      </c>
      <c r="AO43" s="20">
        <f>AJ43*7.1%</f>
        <v>44.835223427100004</v>
      </c>
      <c r="AP43" s="20">
        <f>AJ43*0%</f>
        <v>0</v>
      </c>
      <c r="AQ43" s="20">
        <f>AJ43*2.3%</f>
        <v>14.524086462300003</v>
      </c>
      <c r="AR43" s="20">
        <f>AJ43*1.5%</f>
        <v>9.4722303015000016</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f t="shared" si="0"/>
        <v>0</v>
      </c>
      <c r="AB44" s="130" t="s">
        <v>187</v>
      </c>
      <c r="AC44" s="141">
        <v>0</v>
      </c>
      <c r="AD44" s="172"/>
      <c r="AE44" s="2">
        <v>0</v>
      </c>
      <c r="AF44" s="156"/>
      <c r="AG44" s="19">
        <f>AA44*AC44/100</f>
        <v>0</v>
      </c>
      <c r="AH44" s="169"/>
      <c r="AI44" s="170">
        <f>AA44*AE44/100</f>
        <v>0</v>
      </c>
      <c r="AJ44" s="169"/>
      <c r="AK44" s="22">
        <f t="shared" ref="AK44:AK59" si="7">SUM(AL44:AT44)</f>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f t="shared" si="0"/>
        <v>0</v>
      </c>
      <c r="AB45" s="130" t="s">
        <v>188</v>
      </c>
      <c r="AC45" s="181"/>
      <c r="AD45" s="172"/>
      <c r="AE45" s="153">
        <v>99</v>
      </c>
      <c r="AF45" s="173"/>
      <c r="AG45" s="170">
        <f>-AH45/$D$2%</f>
        <v>0</v>
      </c>
      <c r="AH45" s="169"/>
      <c r="AI45" s="170">
        <f>AA45*AE45%</f>
        <v>0</v>
      </c>
      <c r="AJ45" s="169"/>
      <c r="AK45" s="22">
        <f t="shared" si="7"/>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f>AI46-AH46</f>
        <v>0</v>
      </c>
      <c r="R46" s="24"/>
      <c r="S46" s="24"/>
      <c r="T46" s="24"/>
      <c r="U46" s="24"/>
      <c r="V46" s="24"/>
      <c r="W46" s="24"/>
      <c r="X46" s="24"/>
      <c r="Y46" s="24"/>
      <c r="Z46" s="24"/>
      <c r="AA46" s="29">
        <f t="shared" si="0"/>
        <v>0</v>
      </c>
      <c r="AB46" s="130" t="s">
        <v>189</v>
      </c>
      <c r="AC46" s="170"/>
      <c r="AD46" s="174"/>
      <c r="AE46" s="153">
        <v>300</v>
      </c>
      <c r="AF46" s="169"/>
      <c r="AG46" s="170">
        <f>-AH46/$D$2%</f>
        <v>0</v>
      </c>
      <c r="AH46" s="156"/>
      <c r="AI46" s="170">
        <f>(AH46+I46)*AE46%</f>
        <v>0</v>
      </c>
      <c r="AJ46" s="21"/>
      <c r="AK46" s="22">
        <f t="shared" si="7"/>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f t="shared" si="0"/>
        <v>0</v>
      </c>
      <c r="AB47" s="130" t="s">
        <v>190</v>
      </c>
      <c r="AC47" s="170"/>
      <c r="AD47" s="174"/>
      <c r="AE47" s="153">
        <v>100</v>
      </c>
      <c r="AF47" s="169"/>
      <c r="AG47" s="170">
        <f>-AH47/$D$2%</f>
        <v>0</v>
      </c>
      <c r="AH47" s="156"/>
      <c r="AI47" s="181">
        <f>AH47*AE47%</f>
        <v>0</v>
      </c>
      <c r="AJ47" s="169"/>
      <c r="AK47" s="22">
        <f t="shared" si="7"/>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f t="shared" si="0"/>
        <v>0</v>
      </c>
      <c r="AB48" s="130" t="s">
        <v>191</v>
      </c>
      <c r="AC48" s="170"/>
      <c r="AD48" s="174"/>
      <c r="AE48" s="24">
        <v>100</v>
      </c>
      <c r="AF48" s="169"/>
      <c r="AG48" s="170"/>
      <c r="AH48" s="169"/>
      <c r="AI48" s="170">
        <f>AA48*AE48/100</f>
        <v>0</v>
      </c>
      <c r="AJ48" s="169"/>
      <c r="AK48" s="22">
        <f t="shared" si="7"/>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f t="shared" si="0"/>
        <v>0</v>
      </c>
      <c r="AB49" s="130" t="s">
        <v>192</v>
      </c>
      <c r="AC49" s="181"/>
      <c r="AD49" s="172"/>
      <c r="AE49" s="153">
        <v>100</v>
      </c>
      <c r="AF49" s="173"/>
      <c r="AG49" s="170">
        <f>AA49*AC49%</f>
        <v>0</v>
      </c>
      <c r="AH49" s="169"/>
      <c r="AI49" s="170">
        <f>AA49*AE49%</f>
        <v>0</v>
      </c>
      <c r="AJ49" s="169"/>
      <c r="AK49" s="22">
        <f t="shared" si="7"/>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f t="shared" si="0"/>
        <v>0</v>
      </c>
      <c r="AB50" s="130" t="s">
        <v>193</v>
      </c>
      <c r="AC50" s="181"/>
      <c r="AD50" s="172"/>
      <c r="AE50" s="2">
        <v>100</v>
      </c>
      <c r="AF50" s="173"/>
      <c r="AG50" s="170"/>
      <c r="AH50" s="169"/>
      <c r="AI50" s="33"/>
      <c r="AJ50" s="169"/>
      <c r="AK50" s="22">
        <f t="shared" si="7"/>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f t="shared" si="0"/>
        <v>0</v>
      </c>
      <c r="AB51" s="130" t="s">
        <v>194</v>
      </c>
      <c r="AC51" s="181"/>
      <c r="AD51" s="172"/>
      <c r="AE51" s="172"/>
      <c r="AF51" s="156">
        <v>77.3</v>
      </c>
      <c r="AG51" s="170"/>
      <c r="AH51" s="169"/>
      <c r="AI51" s="6">
        <f>-SUM(AI44:AI50)</f>
        <v>0</v>
      </c>
      <c r="AJ51" s="169">
        <f>-AI51*AF51/100</f>
        <v>0</v>
      </c>
      <c r="AK51" s="22">
        <f t="shared" si="7"/>
        <v>0</v>
      </c>
      <c r="AL51" s="30">
        <f>AJ51*65.7%</f>
        <v>0</v>
      </c>
      <c r="AM51" s="30">
        <f>AJ51*10%</f>
        <v>0</v>
      </c>
      <c r="AN51" s="20">
        <f>AJ51*13.4%</f>
        <v>0</v>
      </c>
      <c r="AO51" s="20">
        <f>AJ51*7.1%</f>
        <v>0</v>
      </c>
      <c r="AP51" s="20">
        <f>AJ51*0%</f>
        <v>0</v>
      </c>
      <c r="AQ51" s="20">
        <f>AJ51*2.3%</f>
        <v>0</v>
      </c>
      <c r="AR51" s="20">
        <f>AJ51*1.5%</f>
        <v>0</v>
      </c>
      <c r="AS51" s="153"/>
      <c r="AT51" s="21"/>
    </row>
    <row r="52" spans="1:46" ht="15" customHeight="1" x14ac:dyDescent="0.2">
      <c r="A52" s="20"/>
      <c r="B52" s="153">
        <v>0</v>
      </c>
      <c r="C52" s="153">
        <v>0</v>
      </c>
      <c r="D52" s="153">
        <v>0</v>
      </c>
      <c r="E52" s="153">
        <v>0</v>
      </c>
      <c r="F52" s="153">
        <v>0</v>
      </c>
      <c r="G52" s="153">
        <v>0</v>
      </c>
      <c r="H52" s="153">
        <v>0</v>
      </c>
      <c r="I52" s="153">
        <v>1.43</v>
      </c>
      <c r="J52" s="31"/>
      <c r="K52" s="2"/>
      <c r="L52" s="2"/>
      <c r="M52" s="153">
        <v>0</v>
      </c>
      <c r="N52" s="153">
        <v>0</v>
      </c>
      <c r="O52" s="153">
        <v>0</v>
      </c>
      <c r="P52" s="153">
        <v>0</v>
      </c>
      <c r="Q52" s="153">
        <v>0</v>
      </c>
      <c r="R52" s="153">
        <v>25.162000000000003</v>
      </c>
      <c r="S52" s="153">
        <v>0</v>
      </c>
      <c r="T52" s="153">
        <v>0</v>
      </c>
      <c r="U52" s="153">
        <v>0</v>
      </c>
      <c r="V52" s="153">
        <v>0</v>
      </c>
      <c r="W52" s="153">
        <v>29.538000000000004</v>
      </c>
      <c r="X52" s="153">
        <v>0</v>
      </c>
      <c r="Y52" s="153">
        <v>0</v>
      </c>
      <c r="Z52" s="153">
        <v>0</v>
      </c>
      <c r="AA52" s="29">
        <f t="shared" si="0"/>
        <v>56.13000000000001</v>
      </c>
      <c r="AB52" s="130" t="s">
        <v>195</v>
      </c>
      <c r="AC52" s="155">
        <v>35.5</v>
      </c>
      <c r="AD52" s="172"/>
      <c r="AE52" s="153">
        <v>49.51</v>
      </c>
      <c r="AF52" s="173"/>
      <c r="AG52" s="19">
        <f t="shared" ref="AG52:AG54" si="8">AC52/100*AA52</f>
        <v>19.926150000000003</v>
      </c>
      <c r="AH52" s="21"/>
      <c r="AI52" s="19">
        <f>AA52*AE52/100</f>
        <v>27.789963000000004</v>
      </c>
      <c r="AJ52" s="21"/>
      <c r="AK52" s="22">
        <f t="shared" si="7"/>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9.31</v>
      </c>
      <c r="W53" s="24">
        <v>0</v>
      </c>
      <c r="X53" s="24">
        <v>0</v>
      </c>
      <c r="Y53" s="24">
        <v>0</v>
      </c>
      <c r="Z53" s="24">
        <v>0</v>
      </c>
      <c r="AA53" s="29">
        <f t="shared" si="0"/>
        <v>9.31</v>
      </c>
      <c r="AB53" s="130" t="s">
        <v>196</v>
      </c>
      <c r="AC53" s="181"/>
      <c r="AD53" s="172"/>
      <c r="AE53" s="153">
        <v>106.334</v>
      </c>
      <c r="AF53" s="173"/>
      <c r="AG53" s="19">
        <f t="shared" si="8"/>
        <v>0</v>
      </c>
      <c r="AH53" s="21"/>
      <c r="AI53" s="19">
        <f>AA53*AE53/100</f>
        <v>9.8996954000000006</v>
      </c>
      <c r="AJ53" s="21"/>
      <c r="AK53" s="22">
        <f t="shared" si="7"/>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f t="shared" si="0"/>
        <v>0</v>
      </c>
      <c r="AB54" s="130" t="s">
        <v>197</v>
      </c>
      <c r="AC54" s="181"/>
      <c r="AD54" s="172"/>
      <c r="AE54" s="2">
        <v>100</v>
      </c>
      <c r="AF54" s="173"/>
      <c r="AG54" s="19">
        <f t="shared" si="8"/>
        <v>0</v>
      </c>
      <c r="AH54" s="156"/>
      <c r="AI54" s="33">
        <v>0</v>
      </c>
      <c r="AJ54" s="21"/>
      <c r="AK54" s="22">
        <f t="shared" si="7"/>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f t="shared" si="0"/>
        <v>0</v>
      </c>
      <c r="AB55" s="675" t="s">
        <v>198</v>
      </c>
      <c r="AC55" s="6"/>
      <c r="AD55" s="148"/>
      <c r="AE55" s="148"/>
      <c r="AF55" s="183"/>
      <c r="AG55" s="19">
        <f>-AH55</f>
        <v>0</v>
      </c>
      <c r="AH55" s="8">
        <v>0</v>
      </c>
      <c r="AI55" s="141"/>
      <c r="AJ55" s="21"/>
      <c r="AK55" s="22">
        <f t="shared" si="7"/>
        <v>0</v>
      </c>
      <c r="AL55" s="175"/>
      <c r="AM55" s="174"/>
      <c r="AN55" s="174"/>
      <c r="AO55" s="174"/>
      <c r="AP55" s="174"/>
      <c r="AQ55" s="174">
        <f>AH55</f>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f t="shared" si="0"/>
        <v>0</v>
      </c>
      <c r="AB56" s="675" t="s">
        <v>656</v>
      </c>
      <c r="AC56" s="6"/>
      <c r="AD56" s="148"/>
      <c r="AE56" s="148"/>
      <c r="AF56" s="173"/>
      <c r="AG56" s="19"/>
      <c r="AH56" s="173"/>
      <c r="AI56" s="141">
        <v>-32.68</v>
      </c>
      <c r="AJ56" s="21"/>
      <c r="AK56" s="22">
        <f t="shared" si="7"/>
        <v>32.68</v>
      </c>
      <c r="AL56" s="175"/>
      <c r="AM56" s="174"/>
      <c r="AN56" s="174"/>
      <c r="AO56" s="174"/>
      <c r="AP56" s="174"/>
      <c r="AQ56" s="174">
        <f>-AI56</f>
        <v>32.68</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f t="shared" si="0"/>
        <v>0</v>
      </c>
      <c r="AB57" s="130" t="s">
        <v>200</v>
      </c>
      <c r="AC57" s="6">
        <v>65</v>
      </c>
      <c r="AD57" s="148"/>
      <c r="AE57" s="148">
        <v>15</v>
      </c>
      <c r="AF57" s="173"/>
      <c r="AG57" s="19">
        <f>-AH57/$D$2%</f>
        <v>0</v>
      </c>
      <c r="AH57" s="173"/>
      <c r="AI57" s="141">
        <f>AH57*AE57%</f>
        <v>0</v>
      </c>
      <c r="AJ57" s="21">
        <f>AI57*AF60%</f>
        <v>0</v>
      </c>
      <c r="AK57" s="22">
        <f t="shared" si="7"/>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f t="shared" si="0"/>
        <v>0</v>
      </c>
      <c r="AB58" s="130" t="s">
        <v>201</v>
      </c>
      <c r="AC58" s="6">
        <v>630</v>
      </c>
      <c r="AD58" s="148"/>
      <c r="AE58" s="148"/>
      <c r="AF58" s="173"/>
      <c r="AG58" s="19">
        <f>-AH58/$D$2%</f>
        <v>0</v>
      </c>
      <c r="AH58" s="173"/>
      <c r="AI58" s="141">
        <f t="shared" ref="AI58:AI59" si="9">AH58*AE58%</f>
        <v>0</v>
      </c>
      <c r="AJ58" s="21">
        <f t="shared" ref="AJ58:AJ59" si="10">AI58*AF61%</f>
        <v>0</v>
      </c>
      <c r="AK58" s="22">
        <f t="shared" si="7"/>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f t="shared" si="0"/>
        <v>0</v>
      </c>
      <c r="AB59" s="130" t="s">
        <v>202</v>
      </c>
      <c r="AC59" s="6"/>
      <c r="AD59" s="148"/>
      <c r="AE59" s="148"/>
      <c r="AF59" s="173"/>
      <c r="AG59" s="19">
        <f>-AH59/$D$2%</f>
        <v>0</v>
      </c>
      <c r="AH59" s="173"/>
      <c r="AI59" s="141">
        <f t="shared" si="9"/>
        <v>0</v>
      </c>
      <c r="AJ59" s="21">
        <f t="shared" si="10"/>
        <v>0</v>
      </c>
      <c r="AK59" s="22">
        <f t="shared" si="7"/>
        <v>0</v>
      </c>
      <c r="AL59" s="175"/>
      <c r="AM59" s="175"/>
      <c r="AN59" s="174"/>
      <c r="AO59" s="174"/>
      <c r="AP59" s="174"/>
      <c r="AQ59" s="174"/>
      <c r="AR59" s="174"/>
      <c r="AS59" s="174"/>
      <c r="AT59" s="21"/>
    </row>
    <row r="60" spans="1:46" ht="15" customHeight="1" x14ac:dyDescent="0.2">
      <c r="A60" s="20"/>
      <c r="B60" s="20"/>
      <c r="C60" s="20"/>
      <c r="D60" s="20"/>
      <c r="E60" s="20"/>
      <c r="F60" s="24"/>
      <c r="G60" s="24"/>
      <c r="H60" s="24"/>
      <c r="I60" s="20"/>
      <c r="J60" s="24"/>
      <c r="K60" s="24"/>
      <c r="L60" s="24"/>
      <c r="M60" s="20"/>
      <c r="N60" s="20"/>
      <c r="O60" s="20"/>
      <c r="P60" s="20"/>
      <c r="Q60" s="20"/>
      <c r="R60" s="20"/>
      <c r="S60" s="174"/>
      <c r="T60" s="20"/>
      <c r="U60" s="20"/>
      <c r="V60" s="20"/>
      <c r="W60" s="20"/>
      <c r="X60" s="20"/>
      <c r="Y60" s="20"/>
      <c r="Z60" s="20"/>
      <c r="AA60" s="29">
        <f t="shared" si="0"/>
        <v>0</v>
      </c>
      <c r="AB60" s="130" t="s">
        <v>203</v>
      </c>
      <c r="AC60" s="6"/>
      <c r="AD60" s="148"/>
      <c r="AE60" s="148"/>
      <c r="AF60" s="156">
        <v>77.3</v>
      </c>
      <c r="AG60" s="19"/>
      <c r="AH60" s="21"/>
      <c r="AI60" s="19">
        <f>-SUM(AI52:AI59)</f>
        <v>-5.0096584000000064</v>
      </c>
      <c r="AJ60" s="21">
        <f>-AI60*AF60/100</f>
        <v>3.8724659432000048</v>
      </c>
      <c r="AK60" s="22">
        <f t="shared" ref="AK60:AK61" si="11">SUM(AL60:AT60)</f>
        <v>3.8724659432000053</v>
      </c>
      <c r="AL60" s="30">
        <f>AJ60*65.7%</f>
        <v>2.5442101246824032</v>
      </c>
      <c r="AM60" s="30">
        <f>AJ60*10%</f>
        <v>0.38724659432000053</v>
      </c>
      <c r="AN60" s="20">
        <f>AJ60*13.4%</f>
        <v>0.51891043638880063</v>
      </c>
      <c r="AO60" s="20">
        <f>AJ60*7.1%</f>
        <v>0.2749450819672003</v>
      </c>
      <c r="AP60" s="20">
        <f>AJ60*0%</f>
        <v>0</v>
      </c>
      <c r="AQ60" s="20">
        <f>AJ60*2.3%</f>
        <v>8.9066716693600112E-2</v>
      </c>
      <c r="AR60" s="20">
        <f>AJ60*1.5%</f>
        <v>5.8086989148000069E-2</v>
      </c>
      <c r="AS60" s="153"/>
      <c r="AT60" s="21"/>
    </row>
    <row r="61" spans="1:46" ht="15" customHeight="1" x14ac:dyDescent="0.2">
      <c r="A61" s="19"/>
      <c r="B61" s="20"/>
      <c r="C61" s="20"/>
      <c r="D61" s="20"/>
      <c r="E61" s="20"/>
      <c r="F61" s="172"/>
      <c r="G61" s="172"/>
      <c r="H61" s="153">
        <f>AA61-S61</f>
        <v>487.7860451546544</v>
      </c>
      <c r="I61" s="172"/>
      <c r="J61" s="172"/>
      <c r="K61" s="172"/>
      <c r="L61" s="172"/>
      <c r="M61" s="172"/>
      <c r="N61" s="172"/>
      <c r="O61" s="172"/>
      <c r="P61" s="172"/>
      <c r="Q61" s="172"/>
      <c r="R61" s="172"/>
      <c r="S61" s="153">
        <f>AA61*3.1%</f>
        <v>15.605126315577179</v>
      </c>
      <c r="T61" s="174"/>
      <c r="U61" s="20"/>
      <c r="V61" s="20"/>
      <c r="W61" s="20"/>
      <c r="X61" s="20"/>
      <c r="Y61" s="20"/>
      <c r="Z61" s="20"/>
      <c r="AA61" s="153">
        <v>503.3911714702316</v>
      </c>
      <c r="AB61" s="130" t="s">
        <v>204</v>
      </c>
      <c r="AC61" s="170"/>
      <c r="AD61" s="174">
        <v>19</v>
      </c>
      <c r="AE61" s="174"/>
      <c r="AF61" s="21"/>
      <c r="AG61" s="19"/>
      <c r="AH61" s="21"/>
      <c r="AI61" s="19"/>
      <c r="AJ61" s="21"/>
      <c r="AK61" s="22">
        <f t="shared" si="11"/>
        <v>95.644322579344006</v>
      </c>
      <c r="AL61" s="30"/>
      <c r="AM61" s="20"/>
      <c r="AN61" s="20"/>
      <c r="AO61" s="20"/>
      <c r="AP61" s="20"/>
      <c r="AQ61" s="20"/>
      <c r="AR61" s="20"/>
      <c r="AS61" s="20"/>
      <c r="AT61" s="21">
        <f>AA61*AD61/100</f>
        <v>95.644322579344006</v>
      </c>
    </row>
    <row r="62" spans="1:46" ht="15" customHeight="1" x14ac:dyDescent="0.2">
      <c r="A62" s="19"/>
      <c r="B62" s="20"/>
      <c r="C62" s="20"/>
      <c r="D62" s="20"/>
      <c r="E62" s="20"/>
      <c r="F62" s="153">
        <f>AA62-S62</f>
        <v>588.1590368588561</v>
      </c>
      <c r="G62" s="172"/>
      <c r="H62" s="172"/>
      <c r="I62" s="172"/>
      <c r="J62" s="172"/>
      <c r="K62" s="172"/>
      <c r="L62" s="172"/>
      <c r="M62" s="172"/>
      <c r="N62" s="172"/>
      <c r="O62" s="172"/>
      <c r="P62" s="172"/>
      <c r="Q62" s="172"/>
      <c r="R62" s="172"/>
      <c r="S62" s="153">
        <f>AA62*7.1%</f>
        <v>44.950798295994375</v>
      </c>
      <c r="T62" s="174"/>
      <c r="U62" s="20"/>
      <c r="V62" s="20"/>
      <c r="W62" s="20"/>
      <c r="X62" s="20"/>
      <c r="Y62" s="20"/>
      <c r="Z62" s="20"/>
      <c r="AA62" s="153">
        <v>633.10983515485043</v>
      </c>
      <c r="AB62" s="130" t="s">
        <v>205</v>
      </c>
      <c r="AC62" s="170"/>
      <c r="AD62" s="174">
        <v>24.3</v>
      </c>
      <c r="AE62" s="174"/>
      <c r="AF62" s="21"/>
      <c r="AG62" s="19"/>
      <c r="AH62" s="21"/>
      <c r="AI62" s="19"/>
      <c r="AJ62" s="21"/>
      <c r="AK62" s="22">
        <f t="shared" ref="AK62:AK80" si="12">SUM(AL62:AT62)</f>
        <v>153.84568994262864</v>
      </c>
      <c r="AL62" s="30"/>
      <c r="AM62" s="20"/>
      <c r="AN62" s="20"/>
      <c r="AO62" s="20"/>
      <c r="AP62" s="20"/>
      <c r="AQ62" s="20"/>
      <c r="AR62" s="20"/>
      <c r="AS62" s="20"/>
      <c r="AT62" s="21">
        <f>AA62*AD62/100</f>
        <v>153.84568994262864</v>
      </c>
    </row>
    <row r="63" spans="1:46" ht="15" customHeight="1" x14ac:dyDescent="0.2">
      <c r="A63" s="19"/>
      <c r="B63" s="20"/>
      <c r="C63" s="20"/>
      <c r="D63" s="20"/>
      <c r="E63" s="20"/>
      <c r="F63" s="153"/>
      <c r="G63" s="172"/>
      <c r="H63" s="172"/>
      <c r="I63" s="153">
        <v>0.75485101658735132</v>
      </c>
      <c r="J63" s="172"/>
      <c r="K63" s="172"/>
      <c r="L63" s="172"/>
      <c r="M63" s="172"/>
      <c r="N63" s="172"/>
      <c r="O63" s="172"/>
      <c r="P63" s="172"/>
      <c r="Q63" s="172"/>
      <c r="R63" s="172"/>
      <c r="S63" s="153"/>
      <c r="T63" s="174"/>
      <c r="U63" s="20"/>
      <c r="V63" s="20"/>
      <c r="W63" s="20"/>
      <c r="X63" s="20"/>
      <c r="Y63" s="20"/>
      <c r="Z63" s="20"/>
      <c r="AA63" s="4">
        <f t="shared" ref="AA63:AA66" si="13">SUM(A63:Z63)</f>
        <v>0.75485101658735132</v>
      </c>
      <c r="AB63" s="128" t="s">
        <v>649</v>
      </c>
      <c r="AC63" s="170"/>
      <c r="AD63" s="174">
        <v>22.6</v>
      </c>
      <c r="AE63" s="174"/>
      <c r="AF63" s="21"/>
      <c r="AG63" s="19"/>
      <c r="AH63" s="21"/>
      <c r="AI63" s="19"/>
      <c r="AJ63" s="21"/>
      <c r="AK63" s="22">
        <f t="shared" si="12"/>
        <v>0.17059632974874142</v>
      </c>
      <c r="AL63" s="30"/>
      <c r="AM63" s="20"/>
      <c r="AN63" s="20"/>
      <c r="AO63" s="20"/>
      <c r="AP63" s="20"/>
      <c r="AQ63" s="20"/>
      <c r="AR63" s="20"/>
      <c r="AS63" s="20"/>
      <c r="AT63" s="21">
        <f>AA63*AD63/100</f>
        <v>0.17059632974874142</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f t="shared" si="13"/>
        <v>0</v>
      </c>
      <c r="AB64" s="129" t="s">
        <v>650</v>
      </c>
      <c r="AC64" s="170">
        <v>67.7</v>
      </c>
      <c r="AD64" s="174"/>
      <c r="AE64" s="174"/>
      <c r="AF64" s="21"/>
      <c r="AG64" s="19">
        <f t="shared" ref="AG64:AG65" si="14">-AH64/$D$2%</f>
        <v>-0.16428423789871296</v>
      </c>
      <c r="AH64" s="153">
        <v>0.15120721256197542</v>
      </c>
      <c r="AI64" s="19"/>
      <c r="AJ64" s="21"/>
      <c r="AK64" s="22">
        <f t="shared" ref="AK64" si="15">SUM(AL64:AT64)</f>
        <v>0.10236728290445736</v>
      </c>
      <c r="AL64" s="30"/>
      <c r="AM64" s="20"/>
      <c r="AN64" s="20"/>
      <c r="AO64" s="20"/>
      <c r="AP64" s="20"/>
      <c r="AQ64" s="20"/>
      <c r="AR64" s="20"/>
      <c r="AS64" s="20"/>
      <c r="AT64" s="21">
        <f>AH64*AC64%</f>
        <v>0.10236728290445736</v>
      </c>
    </row>
    <row r="65" spans="1:46" ht="15" customHeight="1" x14ac:dyDescent="0.2">
      <c r="A65" s="19"/>
      <c r="B65" s="20"/>
      <c r="C65" s="20"/>
      <c r="D65" s="20"/>
      <c r="E65" s="20"/>
      <c r="F65" s="153"/>
      <c r="G65" s="172"/>
      <c r="H65" s="172">
        <f>AA65-S65</f>
        <v>0.13705795139973709</v>
      </c>
      <c r="I65" s="172"/>
      <c r="J65" s="172"/>
      <c r="K65" s="172"/>
      <c r="L65" s="172"/>
      <c r="M65" s="172"/>
      <c r="N65" s="172"/>
      <c r="O65" s="172"/>
      <c r="P65" s="172"/>
      <c r="Q65" s="172"/>
      <c r="R65" s="172"/>
      <c r="S65" s="153">
        <f>AA65*7.1%</f>
        <v>1.0474827286739864E-2</v>
      </c>
      <c r="T65" s="174"/>
      <c r="U65" s="20"/>
      <c r="V65" s="20"/>
      <c r="W65" s="20"/>
      <c r="X65" s="20"/>
      <c r="Y65" s="20"/>
      <c r="Z65" s="20"/>
      <c r="AA65" s="153">
        <v>0.14753277868647696</v>
      </c>
      <c r="AB65" s="130" t="s">
        <v>645</v>
      </c>
      <c r="AC65" s="170">
        <f>AC64</f>
        <v>67.7</v>
      </c>
      <c r="AD65" s="174">
        <v>19</v>
      </c>
      <c r="AE65" s="174"/>
      <c r="AF65" s="21"/>
      <c r="AG65" s="19">
        <f t="shared" si="14"/>
        <v>-4.4985944635256868E-2</v>
      </c>
      <c r="AH65" s="153">
        <f>AA65*AD65%/AC65%</f>
        <v>4.1405063442290425E-2</v>
      </c>
      <c r="AI65" s="19"/>
      <c r="AJ65" s="21"/>
      <c r="AK65" s="22">
        <f t="shared" si="12"/>
        <v>5.6062455900861244E-2</v>
      </c>
      <c r="AL65" s="30"/>
      <c r="AM65" s="20"/>
      <c r="AN65" s="20"/>
      <c r="AO65" s="20"/>
      <c r="AP65" s="20"/>
      <c r="AQ65" s="20"/>
      <c r="AR65" s="20"/>
      <c r="AS65" s="20"/>
      <c r="AT65" s="21">
        <f>AH65*AC65%+AA65*AD65%</f>
        <v>5.6062455900861244E-2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f t="shared" si="13"/>
        <v>0</v>
      </c>
      <c r="AB66" s="128" t="s">
        <v>644</v>
      </c>
      <c r="AC66" s="170"/>
      <c r="AD66" s="174">
        <v>36.4</v>
      </c>
      <c r="AE66" s="174"/>
      <c r="AF66" s="21"/>
      <c r="AG66" s="19"/>
      <c r="AH66" s="21"/>
      <c r="AI66" s="19"/>
      <c r="AJ66" s="21"/>
      <c r="AK66" s="22">
        <f t="shared" si="12"/>
        <v>0</v>
      </c>
      <c r="AL66" s="30"/>
      <c r="AM66" s="20"/>
      <c r="AN66" s="20"/>
      <c r="AO66" s="20"/>
      <c r="AP66" s="20"/>
      <c r="AQ66" s="20"/>
      <c r="AR66" s="20"/>
      <c r="AS66" s="20"/>
      <c r="AT66" s="21">
        <f>AA66*AD66%</f>
        <v>0</v>
      </c>
    </row>
    <row r="67" spans="1:46" ht="15" customHeight="1" x14ac:dyDescent="0.2">
      <c r="A67" s="19"/>
      <c r="B67" s="20"/>
      <c r="C67" s="20"/>
      <c r="D67" s="20"/>
      <c r="E67" s="20"/>
      <c r="F67" s="153">
        <f>AA67-S67</f>
        <v>52.860601755433997</v>
      </c>
      <c r="G67" s="172"/>
      <c r="H67" s="172"/>
      <c r="I67" s="172"/>
      <c r="J67" s="172"/>
      <c r="K67" s="172"/>
      <c r="L67" s="172"/>
      <c r="M67" s="172"/>
      <c r="N67" s="172"/>
      <c r="O67" s="172"/>
      <c r="P67" s="172"/>
      <c r="Q67" s="172"/>
      <c r="R67" s="172"/>
      <c r="S67" s="153">
        <f>AA67*7.1%</f>
        <v>4.0399383472936634</v>
      </c>
      <c r="T67" s="174"/>
      <c r="U67" s="20"/>
      <c r="V67" s="20"/>
      <c r="W67" s="20"/>
      <c r="X67" s="20"/>
      <c r="Y67" s="20"/>
      <c r="Z67" s="20"/>
      <c r="AA67" s="153">
        <v>56.90054010272766</v>
      </c>
      <c r="AB67" s="131" t="s">
        <v>206</v>
      </c>
      <c r="AC67" s="170"/>
      <c r="AD67" s="174">
        <v>29.6</v>
      </c>
      <c r="AE67" s="174"/>
      <c r="AF67" s="21"/>
      <c r="AG67" s="19">
        <f>-AH67/$D$2%</f>
        <v>0</v>
      </c>
      <c r="AH67" s="21"/>
      <c r="AI67" s="19"/>
      <c r="AJ67" s="21"/>
      <c r="AK67" s="22">
        <f t="shared" si="12"/>
        <v>16.842559870407388</v>
      </c>
      <c r="AL67" s="30"/>
      <c r="AM67" s="20"/>
      <c r="AN67" s="20"/>
      <c r="AO67" s="20"/>
      <c r="AP67" s="20"/>
      <c r="AQ67" s="20"/>
      <c r="AR67" s="20"/>
      <c r="AS67" s="20"/>
      <c r="AT67" s="21">
        <f>AA67*AD67%</f>
        <v>16.842559870407388</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f t="shared" ref="AA68:AA70" si="16">SUM(A68:Z68)</f>
        <v>0</v>
      </c>
      <c r="AB68" s="676" t="s">
        <v>640</v>
      </c>
      <c r="AC68" s="170"/>
      <c r="AD68" s="174">
        <v>26.1</v>
      </c>
      <c r="AE68" s="174"/>
      <c r="AF68" s="21"/>
      <c r="AG68" s="19"/>
      <c r="AH68" s="21"/>
      <c r="AI68" s="19"/>
      <c r="AJ68" s="21"/>
      <c r="AK68" s="22">
        <f t="shared" si="12"/>
        <v>0</v>
      </c>
      <c r="AL68" s="30"/>
      <c r="AM68" s="20"/>
      <c r="AN68" s="20"/>
      <c r="AO68" s="20"/>
      <c r="AP68" s="20"/>
      <c r="AQ68" s="20"/>
      <c r="AR68" s="20"/>
      <c r="AS68" s="20"/>
      <c r="AT68" s="21">
        <f>AA68*AD68%</f>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f t="shared" si="16"/>
        <v>0</v>
      </c>
      <c r="AB69" s="676" t="s">
        <v>641</v>
      </c>
      <c r="AC69" s="170"/>
      <c r="AD69" s="174">
        <v>36.4</v>
      </c>
      <c r="AE69" s="174"/>
      <c r="AF69" s="21"/>
      <c r="AG69" s="19"/>
      <c r="AH69" s="21"/>
      <c r="AI69" s="19"/>
      <c r="AJ69" s="21"/>
      <c r="AK69" s="22">
        <f t="shared" si="12"/>
        <v>0</v>
      </c>
      <c r="AL69" s="30"/>
      <c r="AM69" s="20"/>
      <c r="AN69" s="20"/>
      <c r="AO69" s="20"/>
      <c r="AP69" s="20"/>
      <c r="AQ69" s="20"/>
      <c r="AR69" s="20"/>
      <c r="AS69" s="20"/>
      <c r="AT69" s="21">
        <f t="shared" ref="AT69" si="17">AA69*AD69%</f>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f t="shared" si="16"/>
        <v>0</v>
      </c>
      <c r="AB70" s="131" t="s">
        <v>651</v>
      </c>
      <c r="AC70" s="170">
        <v>67.7</v>
      </c>
      <c r="AD70" s="174"/>
      <c r="AE70" s="174"/>
      <c r="AF70" s="21"/>
      <c r="AG70" s="19">
        <f t="shared" ref="AG70" si="18">-AH70/$D$2%</f>
        <v>0</v>
      </c>
      <c r="AH70" s="153"/>
      <c r="AI70" s="19"/>
      <c r="AJ70" s="21"/>
      <c r="AK70" s="22">
        <f t="shared" ref="AK70:AK79" si="19">SUM(AL70:AT70)</f>
        <v>0</v>
      </c>
      <c r="AL70" s="30"/>
      <c r="AM70" s="20"/>
      <c r="AN70" s="20"/>
      <c r="AO70" s="20"/>
      <c r="AP70" s="20"/>
      <c r="AQ70" s="20"/>
      <c r="AR70" s="20"/>
      <c r="AS70" s="20"/>
      <c r="AT70" s="21">
        <f>AH70*AC70%</f>
        <v>0</v>
      </c>
    </row>
    <row r="71" spans="1:46" ht="15" customHeight="1" x14ac:dyDescent="0.2">
      <c r="A71" s="19"/>
      <c r="B71" s="20"/>
      <c r="C71" s="20"/>
      <c r="D71" s="20"/>
      <c r="E71" s="20"/>
      <c r="F71" s="153">
        <f>AA71-S71</f>
        <v>385.17963101310124</v>
      </c>
      <c r="G71" s="172"/>
      <c r="H71" s="172"/>
      <c r="I71" s="172"/>
      <c r="J71" s="172"/>
      <c r="K71" s="172"/>
      <c r="L71" s="172"/>
      <c r="M71" s="172"/>
      <c r="N71" s="172"/>
      <c r="O71" s="172"/>
      <c r="P71" s="172"/>
      <c r="Q71" s="172"/>
      <c r="R71" s="172"/>
      <c r="S71" s="153">
        <f>AA71*7.1%</f>
        <v>29.437840475705258</v>
      </c>
      <c r="T71" s="174"/>
      <c r="U71" s="20"/>
      <c r="V71" s="20"/>
      <c r="W71" s="20"/>
      <c r="X71" s="20"/>
      <c r="Y71" s="20"/>
      <c r="Z71" s="20"/>
      <c r="AA71" s="697">
        <v>414.61747148880647</v>
      </c>
      <c r="AB71" s="131" t="s">
        <v>207</v>
      </c>
      <c r="AC71" s="170"/>
      <c r="AD71" s="174">
        <v>36.5</v>
      </c>
      <c r="AE71" s="174"/>
      <c r="AF71" s="21"/>
      <c r="AG71" s="19"/>
      <c r="AH71" s="169"/>
      <c r="AI71" s="19"/>
      <c r="AJ71" s="21"/>
      <c r="AK71" s="22">
        <f t="shared" si="19"/>
        <v>151.33537709341437</v>
      </c>
      <c r="AL71" s="30"/>
      <c r="AM71" s="20"/>
      <c r="AN71" s="20"/>
      <c r="AO71" s="20"/>
      <c r="AP71" s="20"/>
      <c r="AQ71" s="20"/>
      <c r="AR71" s="20"/>
      <c r="AS71" s="20"/>
      <c r="AT71" s="21">
        <f>AA71*AD71%</f>
        <v>151.33537709341437</v>
      </c>
    </row>
    <row r="72" spans="1:46" ht="15" customHeight="1" x14ac:dyDescent="0.2">
      <c r="A72" s="19"/>
      <c r="B72" s="20"/>
      <c r="C72" s="20"/>
      <c r="D72" s="20"/>
      <c r="E72" s="20"/>
      <c r="F72" s="153"/>
      <c r="G72" s="172"/>
      <c r="H72" s="172"/>
      <c r="I72" s="2">
        <v>0.40671968932438346</v>
      </c>
      <c r="J72" s="172"/>
      <c r="K72" s="172"/>
      <c r="L72" s="172"/>
      <c r="M72" s="172"/>
      <c r="N72" s="172"/>
      <c r="O72" s="172"/>
      <c r="P72" s="172"/>
      <c r="Q72" s="172"/>
      <c r="R72" s="172"/>
      <c r="S72" s="153"/>
      <c r="T72" s="174"/>
      <c r="U72" s="20"/>
      <c r="V72" s="20"/>
      <c r="W72" s="20"/>
      <c r="X72" s="20"/>
      <c r="Y72" s="20"/>
      <c r="Z72" s="20"/>
      <c r="AA72" s="29">
        <f t="shared" ref="AA72:AA74" si="20">SUM(A72:Z72)</f>
        <v>0.40671968932438346</v>
      </c>
      <c r="AB72" s="676" t="s">
        <v>642</v>
      </c>
      <c r="AC72" s="170"/>
      <c r="AD72" s="174">
        <v>32.200000000000003</v>
      </c>
      <c r="AE72" s="174"/>
      <c r="AF72" s="21"/>
      <c r="AG72" s="19"/>
      <c r="AH72" s="169"/>
      <c r="AI72" s="19"/>
      <c r="AJ72" s="21"/>
      <c r="AK72" s="22">
        <f t="shared" si="19"/>
        <v>0.13096373996245148</v>
      </c>
      <c r="AL72" s="30"/>
      <c r="AM72" s="20"/>
      <c r="AN72" s="20"/>
      <c r="AO72" s="20"/>
      <c r="AP72" s="20"/>
      <c r="AQ72" s="20"/>
      <c r="AR72" s="20"/>
      <c r="AS72" s="20"/>
      <c r="AT72" s="21">
        <f>AA72*AD72%</f>
        <v>0.13096373996245148</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f t="shared" si="20"/>
        <v>0</v>
      </c>
      <c r="AB73" s="676" t="s">
        <v>643</v>
      </c>
      <c r="AC73" s="170"/>
      <c r="AD73" s="174">
        <v>36.4</v>
      </c>
      <c r="AE73" s="174"/>
      <c r="AF73" s="21"/>
      <c r="AG73" s="19"/>
      <c r="AH73" s="169"/>
      <c r="AI73" s="19"/>
      <c r="AJ73" s="21"/>
      <c r="AK73" s="22">
        <f t="shared" si="19"/>
        <v>0</v>
      </c>
      <c r="AL73" s="30"/>
      <c r="AM73" s="20"/>
      <c r="AN73" s="20"/>
      <c r="AO73" s="20"/>
      <c r="AP73" s="20"/>
      <c r="AQ73" s="20"/>
      <c r="AR73" s="20"/>
      <c r="AS73" s="20"/>
      <c r="AT73" s="21">
        <f t="shared" ref="AT73" si="21">AA73*AD73%</f>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f t="shared" si="20"/>
        <v>0</v>
      </c>
      <c r="AB74" s="131" t="s">
        <v>652</v>
      </c>
      <c r="AC74" s="170">
        <f>AC70</f>
        <v>67.7</v>
      </c>
      <c r="AD74" s="174"/>
      <c r="AE74" s="174"/>
      <c r="AF74" s="21"/>
      <c r="AG74" s="19">
        <f t="shared" ref="AG74" si="22">-AH74/$D$2%</f>
        <v>0</v>
      </c>
      <c r="AH74" s="153"/>
      <c r="AI74" s="19"/>
      <c r="AJ74" s="21"/>
      <c r="AK74" s="22">
        <f t="shared" si="19"/>
        <v>0</v>
      </c>
      <c r="AL74" s="30"/>
      <c r="AM74" s="20"/>
      <c r="AN74" s="20"/>
      <c r="AO74" s="20"/>
      <c r="AP74" s="20"/>
      <c r="AQ74" s="20"/>
      <c r="AR74" s="20"/>
      <c r="AS74" s="20"/>
      <c r="AT74" s="21">
        <f>AH74*AC74%</f>
        <v>0</v>
      </c>
    </row>
    <row r="75" spans="1:46" ht="15" customHeight="1" x14ac:dyDescent="0.2">
      <c r="A75" s="19"/>
      <c r="B75" s="20"/>
      <c r="C75" s="20"/>
      <c r="D75" s="20"/>
      <c r="E75" s="20"/>
      <c r="F75" s="153">
        <v>244.07912884449448</v>
      </c>
      <c r="G75" s="2"/>
      <c r="H75" s="2"/>
      <c r="I75" s="2"/>
      <c r="J75" s="2"/>
      <c r="K75" s="2"/>
      <c r="L75" s="2"/>
      <c r="M75" s="2"/>
      <c r="N75" s="2"/>
      <c r="O75" s="2"/>
      <c r="P75" s="2"/>
      <c r="Q75" s="2"/>
      <c r="R75" s="2"/>
      <c r="S75" s="153"/>
      <c r="T75" s="20"/>
      <c r="U75" s="20"/>
      <c r="V75" s="20"/>
      <c r="W75" s="20"/>
      <c r="X75" s="20"/>
      <c r="Y75" s="20"/>
      <c r="Z75" s="20"/>
      <c r="AA75" s="29">
        <f t="shared" si="0"/>
        <v>244.07912884449448</v>
      </c>
      <c r="AB75" s="131" t="s">
        <v>208</v>
      </c>
      <c r="AC75" s="170"/>
      <c r="AD75" s="174">
        <v>36.5</v>
      </c>
      <c r="AE75" s="174"/>
      <c r="AF75" s="21"/>
      <c r="AG75" s="19"/>
      <c r="AH75" s="21"/>
      <c r="AI75" s="19"/>
      <c r="AJ75" s="21"/>
      <c r="AK75" s="22">
        <f t="shared" si="19"/>
        <v>89.088882028240477</v>
      </c>
      <c r="AL75" s="30"/>
      <c r="AM75" s="20"/>
      <c r="AN75" s="20"/>
      <c r="AO75" s="20"/>
      <c r="AP75" s="20"/>
      <c r="AQ75" s="20"/>
      <c r="AR75" s="20"/>
      <c r="AS75" s="20">
        <f>AA75*AD75%</f>
        <v>89.088882028240477</v>
      </c>
      <c r="AT75" s="21"/>
    </row>
    <row r="76" spans="1:46" ht="15" customHeight="1" x14ac:dyDescent="0.2">
      <c r="A76" s="19"/>
      <c r="B76" s="20"/>
      <c r="C76" s="20"/>
      <c r="D76" s="20"/>
      <c r="E76" s="20"/>
      <c r="F76" s="153">
        <f>AA76-S76</f>
        <v>0</v>
      </c>
      <c r="G76" s="2"/>
      <c r="H76" s="2"/>
      <c r="I76" s="2"/>
      <c r="J76" s="2"/>
      <c r="K76" s="2"/>
      <c r="L76" s="2"/>
      <c r="M76" s="2"/>
      <c r="N76" s="2"/>
      <c r="O76" s="2"/>
      <c r="P76" s="2"/>
      <c r="Q76" s="2"/>
      <c r="R76" s="2"/>
      <c r="S76" s="153">
        <f>AA76*7.1%</f>
        <v>0</v>
      </c>
      <c r="T76" s="20"/>
      <c r="U76" s="20"/>
      <c r="V76" s="20"/>
      <c r="W76" s="20"/>
      <c r="X76" s="20"/>
      <c r="Y76" s="20"/>
      <c r="Z76" s="20"/>
      <c r="AA76" s="25"/>
      <c r="AB76" s="676" t="s">
        <v>671</v>
      </c>
      <c r="AC76" s="170"/>
      <c r="AD76" s="174">
        <v>12</v>
      </c>
      <c r="AE76" s="174"/>
      <c r="AF76" s="21"/>
      <c r="AG76" s="19"/>
      <c r="AH76" s="21"/>
      <c r="AI76" s="19"/>
      <c r="AJ76" s="21"/>
      <c r="AK76" s="22">
        <f t="shared" si="19"/>
        <v>0</v>
      </c>
      <c r="AL76" s="30"/>
      <c r="AM76" s="20"/>
      <c r="AN76" s="20"/>
      <c r="AO76" s="20"/>
      <c r="AP76" s="20"/>
      <c r="AQ76" s="20"/>
      <c r="AR76" s="20"/>
      <c r="AS76" s="20"/>
      <c r="AT76" s="21">
        <f>AA76*AD76%</f>
        <v>0</v>
      </c>
    </row>
    <row r="77" spans="1:46" ht="15" customHeight="1" x14ac:dyDescent="0.2">
      <c r="A77" s="19"/>
      <c r="B77" s="20"/>
      <c r="C77" s="20"/>
      <c r="D77" s="20"/>
      <c r="E77" s="20"/>
      <c r="F77" s="153">
        <f>AA77-S77</f>
        <v>25.7333</v>
      </c>
      <c r="G77" s="172"/>
      <c r="H77" s="172"/>
      <c r="I77" s="172"/>
      <c r="J77" s="2"/>
      <c r="K77" s="2"/>
      <c r="L77" s="2"/>
      <c r="M77" s="172"/>
      <c r="N77" s="172"/>
      <c r="O77" s="172"/>
      <c r="P77" s="172"/>
      <c r="Q77" s="172"/>
      <c r="R77" s="172"/>
      <c r="S77" s="153">
        <f>AA77*7.1%</f>
        <v>1.9666999999999997</v>
      </c>
      <c r="T77" s="20"/>
      <c r="U77" s="20"/>
      <c r="V77" s="20"/>
      <c r="W77" s="20"/>
      <c r="X77" s="20"/>
      <c r="Y77" s="20"/>
      <c r="Z77" s="20"/>
      <c r="AA77" s="25">
        <v>27.7</v>
      </c>
      <c r="AB77" s="676" t="s">
        <v>672</v>
      </c>
      <c r="AC77" s="170"/>
      <c r="AD77" s="174">
        <v>25</v>
      </c>
      <c r="AE77" s="174"/>
      <c r="AF77" s="21"/>
      <c r="AG77" s="19"/>
      <c r="AH77" s="21"/>
      <c r="AI77" s="19"/>
      <c r="AJ77" s="21"/>
      <c r="AK77" s="22">
        <f t="shared" si="19"/>
        <v>6.9249999999999998</v>
      </c>
      <c r="AL77" s="30"/>
      <c r="AM77" s="20"/>
      <c r="AN77" s="20"/>
      <c r="AO77" s="20"/>
      <c r="AP77" s="20"/>
      <c r="AQ77" s="20"/>
      <c r="AR77" s="20"/>
      <c r="AS77" s="20"/>
      <c r="AT77" s="21">
        <f>AA77*AD77%</f>
        <v>6.9249999999999998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f>SUM(A78:Z78)</f>
        <v>0</v>
      </c>
      <c r="AB78" s="676" t="s">
        <v>673</v>
      </c>
      <c r="AC78" s="687">
        <v>67</v>
      </c>
      <c r="AD78" s="174"/>
      <c r="AE78" s="184"/>
      <c r="AF78" s="41"/>
      <c r="AG78" s="19">
        <f t="shared" ref="AG78" si="23">-AH78/$D$2%</f>
        <v>0</v>
      </c>
      <c r="AH78" s="701">
        <v>0</v>
      </c>
      <c r="AI78" s="38"/>
      <c r="AJ78" s="41"/>
      <c r="AK78" s="22">
        <f t="shared" si="19"/>
        <v>0</v>
      </c>
      <c r="AL78" s="42"/>
      <c r="AM78" s="39"/>
      <c r="AN78" s="39"/>
      <c r="AO78" s="39"/>
      <c r="AP78" s="39"/>
      <c r="AQ78" s="39"/>
      <c r="AR78" s="39"/>
      <c r="AS78" s="39"/>
      <c r="AT78" s="21">
        <f>AC78*AH78%</f>
        <v>0</v>
      </c>
    </row>
    <row r="79" spans="1:46" ht="15" customHeight="1" x14ac:dyDescent="0.2">
      <c r="A79" s="38"/>
      <c r="B79" s="39"/>
      <c r="C79" s="39"/>
      <c r="D79" s="184"/>
      <c r="E79" s="184"/>
      <c r="F79" s="184"/>
      <c r="G79" s="154">
        <v>320.8</v>
      </c>
      <c r="H79" s="153">
        <v>0.4</v>
      </c>
      <c r="I79" s="184"/>
      <c r="J79" s="40"/>
      <c r="K79" s="40"/>
      <c r="L79" s="40"/>
      <c r="M79" s="184"/>
      <c r="N79" s="39"/>
      <c r="O79" s="39"/>
      <c r="P79" s="39"/>
      <c r="Q79" s="39"/>
      <c r="R79" s="39"/>
      <c r="S79" s="39"/>
      <c r="T79" s="39"/>
      <c r="U79" s="39"/>
      <c r="V79" s="39"/>
      <c r="W79" s="39"/>
      <c r="X79" s="39"/>
      <c r="Y79" s="39"/>
      <c r="Z79" s="39"/>
      <c r="AA79" s="21">
        <f>SUM(A79:Z79)</f>
        <v>321.2</v>
      </c>
      <c r="AB79" s="131" t="s">
        <v>9</v>
      </c>
      <c r="AC79" s="687"/>
      <c r="AD79" s="174">
        <v>13.5</v>
      </c>
      <c r="AE79" s="184"/>
      <c r="AF79" s="41"/>
      <c r="AG79" s="38"/>
      <c r="AH79" s="41"/>
      <c r="AI79" s="38"/>
      <c r="AJ79" s="41"/>
      <c r="AK79" s="22">
        <f t="shared" si="19"/>
        <v>43.361999999999995</v>
      </c>
      <c r="AL79" s="42"/>
      <c r="AM79" s="39"/>
      <c r="AN79" s="39"/>
      <c r="AO79" s="39"/>
      <c r="AP79" s="39"/>
      <c r="AQ79" s="39"/>
      <c r="AR79" s="39"/>
      <c r="AS79" s="39"/>
      <c r="AT79" s="21">
        <f>AD79*AA79%</f>
        <v>43.361999999999995</v>
      </c>
    </row>
    <row r="80" spans="1:46" ht="15" customHeight="1" thickBot="1" x14ac:dyDescent="0.25">
      <c r="A80" s="38"/>
      <c r="B80" s="39"/>
      <c r="C80" s="39"/>
      <c r="D80" s="154">
        <v>0.3</v>
      </c>
      <c r="E80" s="184"/>
      <c r="F80" s="154">
        <v>46.2</v>
      </c>
      <c r="G80" s="184"/>
      <c r="H80" s="184"/>
      <c r="I80" s="184"/>
      <c r="J80" s="40"/>
      <c r="K80" s="40"/>
      <c r="L80" s="40"/>
      <c r="M80" s="184"/>
      <c r="N80" s="39"/>
      <c r="O80" s="39"/>
      <c r="P80" s="39"/>
      <c r="Q80" s="39"/>
      <c r="R80" s="39"/>
      <c r="S80" s="39"/>
      <c r="T80" s="39"/>
      <c r="U80" s="39"/>
      <c r="V80" s="39"/>
      <c r="W80" s="39"/>
      <c r="X80" s="39"/>
      <c r="Y80" s="39"/>
      <c r="Z80" s="39"/>
      <c r="AA80" s="41">
        <f t="shared" si="0"/>
        <v>46.5</v>
      </c>
      <c r="AB80" s="132" t="s">
        <v>5</v>
      </c>
      <c r="AC80" s="688"/>
      <c r="AD80" s="174">
        <v>20</v>
      </c>
      <c r="AE80" s="689"/>
      <c r="AF80" s="45"/>
      <c r="AG80" s="43"/>
      <c r="AH80" s="45"/>
      <c r="AI80" s="43"/>
      <c r="AJ80" s="45"/>
      <c r="AK80" s="46">
        <f t="shared" si="12"/>
        <v>9.3000000000000007</v>
      </c>
      <c r="AL80" s="47"/>
      <c r="AM80" s="44"/>
      <c r="AN80" s="44"/>
      <c r="AO80" s="44"/>
      <c r="AP80" s="44"/>
      <c r="AQ80" s="44"/>
      <c r="AR80" s="44"/>
      <c r="AS80" s="44"/>
      <c r="AT80" s="21">
        <f>AA80*AD80%</f>
        <v>9.3000000000000007</v>
      </c>
    </row>
    <row r="81" spans="1:47" ht="15" customHeight="1" thickBot="1" x14ac:dyDescent="0.25">
      <c r="A81" s="48">
        <f t="shared" ref="A81:AA81" si="24">SUM(A8:A80)</f>
        <v>-270.90177626901021</v>
      </c>
      <c r="B81" s="49">
        <f t="shared" si="24"/>
        <v>19.2</v>
      </c>
      <c r="C81" s="49">
        <f t="shared" si="24"/>
        <v>0</v>
      </c>
      <c r="D81" s="49">
        <f t="shared" si="24"/>
        <v>135.4</v>
      </c>
      <c r="E81" s="49">
        <f t="shared" si="24"/>
        <v>272.40000000000003</v>
      </c>
      <c r="F81" s="49">
        <f t="shared" si="24"/>
        <v>1342.2116984718862</v>
      </c>
      <c r="G81" s="49">
        <f t="shared" si="24"/>
        <v>320.8</v>
      </c>
      <c r="H81" s="49">
        <f t="shared" si="24"/>
        <v>488.32310310605413</v>
      </c>
      <c r="I81" s="49">
        <f t="shared" si="24"/>
        <v>901.69157070591177</v>
      </c>
      <c r="J81" s="49">
        <f t="shared" si="24"/>
        <v>0</v>
      </c>
      <c r="K81" s="49">
        <f t="shared" si="24"/>
        <v>0</v>
      </c>
      <c r="L81" s="49">
        <f t="shared" si="24"/>
        <v>0</v>
      </c>
      <c r="M81" s="49">
        <f t="shared" si="24"/>
        <v>1139.7</v>
      </c>
      <c r="N81" s="49">
        <f t="shared" si="24"/>
        <v>0</v>
      </c>
      <c r="O81" s="49">
        <f t="shared" si="24"/>
        <v>46.6</v>
      </c>
      <c r="P81" s="49">
        <f t="shared" si="24"/>
        <v>0</v>
      </c>
      <c r="Q81" s="49">
        <f t="shared" si="24"/>
        <v>7.7999999999999989</v>
      </c>
      <c r="R81" s="49">
        <f t="shared" si="24"/>
        <v>72.181599999999989</v>
      </c>
      <c r="S81" s="49">
        <f t="shared" si="24"/>
        <v>124.63687826185722</v>
      </c>
      <c r="T81" s="49">
        <f t="shared" si="24"/>
        <v>89.319199999999995</v>
      </c>
      <c r="U81" s="49">
        <f t="shared" si="24"/>
        <v>760.2</v>
      </c>
      <c r="V81" s="49">
        <f t="shared" si="24"/>
        <v>1198.1099999999999</v>
      </c>
      <c r="W81" s="49">
        <f t="shared" si="24"/>
        <v>99.573199999999986</v>
      </c>
      <c r="X81" s="49">
        <f t="shared" si="24"/>
        <v>0</v>
      </c>
      <c r="Y81" s="49">
        <f t="shared" si="24"/>
        <v>2.2999999999999998</v>
      </c>
      <c r="Z81" s="49">
        <f t="shared" si="24"/>
        <v>0</v>
      </c>
      <c r="AA81" s="50">
        <f t="shared" si="24"/>
        <v>6749.5454742766997</v>
      </c>
      <c r="AB81" s="51" t="s">
        <v>1</v>
      </c>
      <c r="AC81" s="52"/>
      <c r="AD81" s="52"/>
      <c r="AE81" s="52"/>
      <c r="AF81" s="52"/>
      <c r="AG81" s="48">
        <f t="shared" ref="AG81:AT81" si="25">SUM(AG8:AG80)</f>
        <v>5.3686222134530226E-14</v>
      </c>
      <c r="AH81" s="50">
        <f t="shared" si="25"/>
        <v>970.90830642200308</v>
      </c>
      <c r="AI81" s="48">
        <f t="shared" si="25"/>
        <v>0</v>
      </c>
      <c r="AJ81" s="50">
        <f t="shared" si="25"/>
        <v>635.35448604320015</v>
      </c>
      <c r="AK81" s="51">
        <f t="shared" si="25"/>
        <v>3988.6824941193063</v>
      </c>
      <c r="AL81" s="53">
        <f t="shared" si="25"/>
        <v>1891.9800236268977</v>
      </c>
      <c r="AM81" s="49">
        <f t="shared" si="25"/>
        <v>165.60172220614578</v>
      </c>
      <c r="AN81" s="49">
        <f t="shared" si="25"/>
        <v>130.74329873764094</v>
      </c>
      <c r="AO81" s="49">
        <f t="shared" si="25"/>
        <v>155.74733977905797</v>
      </c>
      <c r="AP81" s="49">
        <f t="shared" si="25"/>
        <v>12.373630755387319</v>
      </c>
      <c r="AQ81" s="49">
        <f t="shared" si="25"/>
        <v>910.53230446169994</v>
      </c>
      <c r="AR81" s="49">
        <f t="shared" si="25"/>
        <v>22.632139988837874</v>
      </c>
      <c r="AS81" s="49">
        <f t="shared" si="25"/>
        <v>219.89789526932765</v>
      </c>
      <c r="AT81" s="50">
        <f t="shared" si="25"/>
        <v>479.17413929431092</v>
      </c>
    </row>
    <row r="82" spans="1:47" ht="15" customHeight="1" x14ac:dyDescent="0.25">
      <c r="A82" s="26">
        <f t="shared" ref="A82:Y82" si="26">A81*A89/1000</f>
        <v>-32.884766621295149</v>
      </c>
      <c r="B82" s="28">
        <f t="shared" si="26"/>
        <v>1.2441599999999999</v>
      </c>
      <c r="C82" s="28">
        <f t="shared" si="26"/>
        <v>0</v>
      </c>
      <c r="D82" s="28">
        <f t="shared" si="26"/>
        <v>10.700661999999999</v>
      </c>
      <c r="E82" s="28">
        <f t="shared" si="26"/>
        <v>20.184840000000001</v>
      </c>
      <c r="F82" s="28">
        <f t="shared" si="26"/>
        <v>99.457886856766748</v>
      </c>
      <c r="G82" s="28">
        <f t="shared" si="26"/>
        <v>23.097600000000003</v>
      </c>
      <c r="H82" s="28">
        <f t="shared" si="26"/>
        <v>35.647586526741954</v>
      </c>
      <c r="I82" s="28">
        <f t="shared" si="26"/>
        <v>51.20706430038873</v>
      </c>
      <c r="J82" s="27"/>
      <c r="K82" s="27"/>
      <c r="L82" s="27"/>
      <c r="M82" s="28">
        <f t="shared" si="26"/>
        <v>0</v>
      </c>
      <c r="N82" s="28">
        <f t="shared" si="26"/>
        <v>0</v>
      </c>
      <c r="O82" s="28">
        <f t="shared" si="26"/>
        <v>0</v>
      </c>
      <c r="P82" s="28">
        <f t="shared" si="26"/>
        <v>0</v>
      </c>
      <c r="Q82" s="28">
        <v>0</v>
      </c>
      <c r="R82" s="28">
        <f t="shared" si="26"/>
        <v>0</v>
      </c>
      <c r="S82" s="28">
        <f t="shared" si="26"/>
        <v>0</v>
      </c>
      <c r="T82" s="28">
        <f t="shared" si="26"/>
        <v>0</v>
      </c>
      <c r="U82" s="28">
        <f t="shared" si="26"/>
        <v>0</v>
      </c>
      <c r="V82" s="28">
        <f t="shared" si="26"/>
        <v>0</v>
      </c>
      <c r="W82" s="28">
        <f t="shared" si="26"/>
        <v>0</v>
      </c>
      <c r="X82" s="28">
        <f t="shared" si="26"/>
        <v>0</v>
      </c>
      <c r="Y82" s="28">
        <f t="shared" si="26"/>
        <v>0</v>
      </c>
      <c r="Z82" s="28">
        <f>Z81*Z89/1000</f>
        <v>0</v>
      </c>
      <c r="AA82" s="29">
        <f>SUM(A82:Z82)</f>
        <v>208.65503306260229</v>
      </c>
      <c r="AB82" s="54" t="s">
        <v>30</v>
      </c>
      <c r="AC82" s="55">
        <f>AA82*1000/D1</f>
        <v>4.4736397817928921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441</v>
      </c>
      <c r="S83" s="153">
        <v>766</v>
      </c>
      <c r="T83" s="153">
        <v>475</v>
      </c>
      <c r="U83" s="153">
        <v>364.37178342551363</v>
      </c>
      <c r="V83" s="20"/>
      <c r="W83" s="20"/>
      <c r="X83" s="20"/>
      <c r="Y83" s="20"/>
      <c r="Z83" s="20"/>
      <c r="AA83" s="21">
        <f>SUM(A83:Z83)</f>
        <v>2046.3717834255135</v>
      </c>
      <c r="AB83" s="22" t="s">
        <v>653</v>
      </c>
      <c r="AC83" s="677">
        <f>(SUM(M11:Y11)+AG12*A87%+SUM(M16:Y16)+SUM(M17:Y17)+SUM(M18:Y18)+SUM(M19:Y19)+SUM(M22:Y22)+SUM(M61:Y61)+SUM(M62:Y62)+SUM(M63:Y63)+SUM(M65:Y65)+SUM(M66:Y66)+SUM(M67:Y67)+SUM(M68:Y68)+SUM(M69:Y69)+SUM(M71:Y71)+SUM(M72:Y72)+SUM(M73:Y73)+SUM(M75:Y75)+SUM(M76:Y76)+SUM(M77:Y77)+SUM(M79:Y79)+SUM(M80:Y80)+SUM(M23:Y23)*(AC23%+AE23%)+SUM(M24:Y24)*(AC24%+AE24%)+SUM(M25:Y25)*(AC25%+AE25%)+SUM(M26:Y26)*(AC26%+AE26%)+SUM(M28:Y28)*(AC28%+AD28%+AE28%)+SUM(M27:Y27)*(AD27%)+SUM(M29:Y29)*(AC29%+AE29%)+SUM(M30:Y30)*(AC30%+AE30%)+SUM(M31:Y31)*(AC31%+AE31%)+SUM(M34:Y34)*(AC34%+AE34%)+SUM(M35:Y35)*(AC35%+AE35%)+SUM(M37:Y37)*(AC37%+AE37%)+SUM(M38:Y38)*(AC38%+AE38%)+SUM(M39:Y39)*(AC39%+AE39%)+SUM(M41:Y41)*(AC41%+AE41%)+SUM(M42:Y42)*(AC42%+AE42%)+SUM(M44:Y44)*(AC44%+AE44%)+SUM(M45:Y45)*(AC45%+AE45%)+SUM(M46:Y46)*(AC47%+AE47%)+SUM(M48:Y48)*(AC48%+AE48%)+SUM(M49:Y49)*(AC49%+AE49%)+SUM(M50:Y50)*(AC50%+AE50%)+SUM(M52:Y52)*(AC52%+AE52%)+SUM(M53:Y53)*(AC53%+AE53%)+SUM(M54:Y54)*(AC54%+AE54%))/(SUM(AA8:AA11)+SUM(AA13:AA22)+SUM(AA61:AA80)+(AJ33/AF33%+AJ36/AF36%+AJ43/AF43%+AJ51/AF51%+AJ60/AF60%)+AH81+SUM(AH8:AH11)*(1-D2%)+(-AI56))*100</f>
        <v>50.152370079987485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tr">
        <f>IF(M83&gt;0,M81/M83*100,"")</f>
        <v/>
      </c>
      <c r="N84" s="44" t="str">
        <f t="shared" ref="N84:Z84" si="27">IF(N83&gt;0,N81/N83*100,"")</f>
        <v/>
      </c>
      <c r="O84" s="44" t="str">
        <f t="shared" si="27"/>
        <v/>
      </c>
      <c r="P84" s="44" t="str">
        <f t="shared" si="27"/>
        <v/>
      </c>
      <c r="Q84" s="44" t="str">
        <f t="shared" si="27"/>
        <v/>
      </c>
      <c r="R84" s="44">
        <f t="shared" si="27"/>
        <v>16.367709750566892</v>
      </c>
      <c r="S84" s="44">
        <f t="shared" si="27"/>
        <v>16.271132932357339</v>
      </c>
      <c r="T84" s="44">
        <f t="shared" si="27"/>
        <v>18.804042105263157</v>
      </c>
      <c r="U84" s="44">
        <f t="shared" si="27"/>
        <v>208.63305957811721</v>
      </c>
      <c r="V84" s="44" t="str">
        <f t="shared" si="27"/>
        <v/>
      </c>
      <c r="W84" s="44" t="str">
        <f t="shared" si="27"/>
        <v/>
      </c>
      <c r="X84" s="44" t="str">
        <f t="shared" si="27"/>
        <v/>
      </c>
      <c r="Y84" s="44" t="str">
        <f>IF(Y83&gt;0,Y81/Y83*100,"")</f>
        <v/>
      </c>
      <c r="Z84" s="44" t="str">
        <f t="shared" si="27"/>
        <v/>
      </c>
      <c r="AA84" s="45">
        <f>SUMIF(M83:Z83,"&gt;0",M81:Z81)/SUM(M83:Z83)%</f>
        <v>51.13135778828741</v>
      </c>
      <c r="AB84" s="46" t="s">
        <v>12</v>
      </c>
      <c r="AC84" s="151">
        <f>SUM(M81:Y81)/AA81*100</f>
        <v>52.454211794776576</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tr">
        <f t="shared" ref="B86:I86" si="28">B7</f>
        <v xml:space="preserve">  LPG og petroleum</v>
      </c>
      <c r="C86" s="754" t="str">
        <f t="shared" si="28"/>
        <v xml:space="preserve">  Kul</v>
      </c>
      <c r="D86" s="754" t="str">
        <f t="shared" si="28"/>
        <v xml:space="preserve">  Fuelolie</v>
      </c>
      <c r="E86" s="754" t="str">
        <f t="shared" si="28"/>
        <v xml:space="preserve">  Brændselsolie</v>
      </c>
      <c r="F86" s="754" t="str">
        <f t="shared" si="28"/>
        <v xml:space="preserve">  Dieselolie</v>
      </c>
      <c r="G86" s="754" t="str">
        <f t="shared" si="28"/>
        <v xml:space="preserve">  JP1</v>
      </c>
      <c r="H86" s="754" t="str">
        <f t="shared" si="28"/>
        <v xml:space="preserve">  Benzin</v>
      </c>
      <c r="I86" s="754" t="str">
        <f t="shared" si="28"/>
        <v xml:space="preserve">  Naturgas</v>
      </c>
      <c r="J86" s="673"/>
      <c r="K86" s="673"/>
      <c r="L86" s="673"/>
      <c r="M86" s="754" t="str">
        <f t="shared" ref="M86:Z86" si="29">M7</f>
        <v xml:space="preserve">  Vindenergi</v>
      </c>
      <c r="N86" s="754" t="str">
        <f t="shared" si="29"/>
        <v xml:space="preserve">  Vandenergi</v>
      </c>
      <c r="O86" s="754" t="str">
        <f t="shared" si="29"/>
        <v xml:space="preserve">  Solenergi</v>
      </c>
      <c r="P86" s="754" t="str">
        <f t="shared" si="29"/>
        <v xml:space="preserve">  Geotermi</v>
      </c>
      <c r="Q86" s="754" t="str">
        <f t="shared" si="29"/>
        <v xml:space="preserve">  Varmekilder til varmepumper</v>
      </c>
      <c r="R86" s="754" t="str">
        <f t="shared" si="29"/>
        <v xml:space="preserve">  Husdyrsgødning</v>
      </c>
      <c r="S86" s="754" t="str">
        <f t="shared" si="29"/>
        <v xml:space="preserve">  Biobrændstof og energiafgrøder</v>
      </c>
      <c r="T86" s="754" t="str">
        <f t="shared" si="29"/>
        <v xml:space="preserve">  Halm</v>
      </c>
      <c r="U86" s="754" t="str">
        <f t="shared" si="29"/>
        <v xml:space="preserve">  Brænde og træflis</v>
      </c>
      <c r="V86" s="754" t="str">
        <f t="shared" si="29"/>
        <v xml:space="preserve">  Træpiller og træaffald</v>
      </c>
      <c r="W86" s="754" t="str">
        <f t="shared" si="29"/>
        <v xml:space="preserve">  Organisk affald, industri</v>
      </c>
      <c r="X86" s="754" t="str">
        <f t="shared" si="29"/>
        <v xml:space="preserve">  Organisk affald, husholdninger</v>
      </c>
      <c r="Y86" s="754" t="str">
        <f t="shared" si="29"/>
        <v xml:space="preserve">  Deponi, slam, renseanlæg</v>
      </c>
      <c r="Z86" s="757" t="str">
        <f t="shared" si="29"/>
        <v xml:space="preserve">  Affald, ikke bionedbrydeligt</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41</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121.39</v>
      </c>
      <c r="B89" s="186">
        <v>64.8</v>
      </c>
      <c r="C89" s="186">
        <v>94.2</v>
      </c>
      <c r="D89" s="186">
        <v>79.03</v>
      </c>
      <c r="E89" s="186">
        <v>74.099999999999994</v>
      </c>
      <c r="F89" s="186">
        <f>E89</f>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9A5AA-8FF8-4FDD-BE60-B5952E34C27E}">
  <sheetPr codeName="Ark7">
    <tabColor theme="3" tint="0.59999389629810485"/>
    <pageSetUpPr fitToPage="1"/>
  </sheetPr>
  <dimension ref="A1:AY95"/>
  <sheetViews>
    <sheetView showGridLines="0" showZeros="0" zoomScale="85" zoomScaleNormal="85" workbookViewId="0">
      <selection activeCell="G3" sqref="G3"/>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47291</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92.41</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4" t="s">
        <v>666</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f t="shared" ref="AA8:AA80" si="0">SUM(A8:Z8)</f>
        <v>0</v>
      </c>
      <c r="AB8" s="128" t="s">
        <v>183</v>
      </c>
      <c r="AC8" s="19"/>
      <c r="AD8" s="24">
        <v>85.565889959770544</v>
      </c>
      <c r="AE8" s="20"/>
      <c r="AF8" s="21"/>
      <c r="AG8" s="19">
        <f t="shared" ref="AG8:AG11" si="1">-AH8/$D$2%</f>
        <v>-1040.4000784011441</v>
      </c>
      <c r="AH8" s="25">
        <f>AK8/AD8%</f>
        <v>961.43371245049718</v>
      </c>
      <c r="AI8" s="33"/>
      <c r="AJ8" s="25"/>
      <c r="AK8" s="158">
        <f t="shared" ref="AK8:AK11" si="2">SUM(AL8:AT8)</f>
        <v>822.6593124315292</v>
      </c>
      <c r="AL8" s="153">
        <v>201.829390882891</v>
      </c>
      <c r="AM8" s="153">
        <v>103.04621448762894</v>
      </c>
      <c r="AN8" s="153">
        <v>46.518513622200004</v>
      </c>
      <c r="AO8" s="153">
        <v>112.33698582142509</v>
      </c>
      <c r="AP8" s="153">
        <v>12.707316702</v>
      </c>
      <c r="AQ8" s="153">
        <v>206.51090559398608</v>
      </c>
      <c r="AR8" s="153">
        <v>5.2088151995999992</v>
      </c>
      <c r="AS8" s="153">
        <v>131.50117012179791</v>
      </c>
      <c r="AT8" s="8">
        <v>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f t="shared" si="0"/>
        <v>0</v>
      </c>
      <c r="AB9" s="128" t="s">
        <v>2</v>
      </c>
      <c r="AC9" s="19"/>
      <c r="AD9" s="20"/>
      <c r="AE9" s="20">
        <v>90</v>
      </c>
      <c r="AF9" s="21"/>
      <c r="AG9" s="19">
        <f t="shared" si="1"/>
        <v>-5.8916182712308682</v>
      </c>
      <c r="AH9" s="25">
        <f>AK9/AE9%</f>
        <v>5.4444444444444446</v>
      </c>
      <c r="AI9" s="33"/>
      <c r="AJ9" s="25"/>
      <c r="AK9" s="158">
        <f t="shared" si="2"/>
        <v>4.9000000000000004</v>
      </c>
      <c r="AL9" s="157">
        <v>4.9000000000000004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f t="shared" si="0"/>
        <v>0</v>
      </c>
      <c r="AB10" s="128" t="s">
        <v>3</v>
      </c>
      <c r="AC10" s="19"/>
      <c r="AD10" s="20"/>
      <c r="AE10" s="20">
        <v>100</v>
      </c>
      <c r="AF10" s="21"/>
      <c r="AG10" s="19">
        <f t="shared" si="1"/>
        <v>-24.99729466507954</v>
      </c>
      <c r="AH10" s="25">
        <f>AK10/AE10%</f>
        <v>23.1</v>
      </c>
      <c r="AI10" s="33"/>
      <c r="AJ10" s="25"/>
      <c r="AK10" s="158">
        <f t="shared" si="2"/>
        <v>23.1</v>
      </c>
      <c r="AL10" s="157">
        <v>23.1</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f>AK11-AH11</f>
        <v>5.1666666666666661</v>
      </c>
      <c r="R11" s="20"/>
      <c r="S11" s="20"/>
      <c r="T11" s="20"/>
      <c r="U11" s="20"/>
      <c r="V11" s="20"/>
      <c r="W11" s="20"/>
      <c r="X11" s="20"/>
      <c r="Y11" s="20"/>
      <c r="Z11" s="20"/>
      <c r="AA11" s="21">
        <f t="shared" si="0"/>
        <v>5.1666666666666661</v>
      </c>
      <c r="AB11" s="128" t="s">
        <v>23</v>
      </c>
      <c r="AC11" s="19"/>
      <c r="AD11" s="20"/>
      <c r="AE11" s="20">
        <v>300</v>
      </c>
      <c r="AF11" s="21"/>
      <c r="AG11" s="19">
        <f t="shared" si="1"/>
        <v>-2.7955127511452589</v>
      </c>
      <c r="AH11" s="156">
        <f>AK11/AE11%</f>
        <v>2.5833333333333335</v>
      </c>
      <c r="AI11" s="33"/>
      <c r="AJ11" s="25"/>
      <c r="AK11" s="158">
        <f t="shared" si="2"/>
        <v>7.75</v>
      </c>
      <c r="AL11" s="699">
        <v>7.75</v>
      </c>
      <c r="AM11" s="24"/>
      <c r="AN11" s="24"/>
      <c r="AO11" s="24"/>
      <c r="AP11" s="24"/>
      <c r="AQ11" s="24"/>
      <c r="AR11" s="24"/>
      <c r="AS11" s="24"/>
      <c r="AT11" s="25"/>
    </row>
    <row r="12" spans="1:51" ht="15" customHeight="1" x14ac:dyDescent="0.2">
      <c r="A12" s="155">
        <f>AC12%*AG12</f>
        <v>151.2096149298329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f t="shared" si="0"/>
        <v>151.2096149298329</v>
      </c>
      <c r="AB12" s="128" t="s">
        <v>10</v>
      </c>
      <c r="AC12" s="19">
        <v>100</v>
      </c>
      <c r="AD12" s="20"/>
      <c r="AE12" s="20"/>
      <c r="AF12" s="21"/>
      <c r="AG12" s="19">
        <f>-SUM(AG13:AG80,AG8:AG11)</f>
        <v>151.2096149298329</v>
      </c>
      <c r="AH12" s="169"/>
      <c r="AI12" s="170"/>
      <c r="AJ12" s="169"/>
      <c r="AK12" s="171">
        <f t="shared" ref="AK12:AK43" si="3">SUM(AL12:AT12)</f>
        <v>0</v>
      </c>
      <c r="AL12" s="170"/>
      <c r="AM12" s="174"/>
      <c r="AN12" s="174"/>
      <c r="AO12" s="174"/>
      <c r="AP12" s="174"/>
      <c r="AQ12" s="174"/>
      <c r="AR12" s="174"/>
      <c r="AS12" s="174"/>
      <c r="AT12" s="169"/>
    </row>
    <row r="13" spans="1:51" ht="15" customHeight="1" x14ac:dyDescent="0.2">
      <c r="A13" s="176"/>
      <c r="B13" s="153">
        <v>19.100000000000001</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f t="shared" si="0"/>
        <v>19.100000000000001</v>
      </c>
      <c r="AB13" s="178" t="s">
        <v>29</v>
      </c>
      <c r="AC13" s="26"/>
      <c r="AD13" s="28"/>
      <c r="AE13" s="177">
        <v>38</v>
      </c>
      <c r="AF13" s="29"/>
      <c r="AG13" s="26"/>
      <c r="AH13" s="29"/>
      <c r="AI13" s="26"/>
      <c r="AJ13" s="29"/>
      <c r="AK13" s="22">
        <f t="shared" si="3"/>
        <v>7.258</v>
      </c>
      <c r="AL13" s="188">
        <f>AA13*AE13%*20%</f>
        <v>1.4516000000000002</v>
      </c>
      <c r="AM13" s="179"/>
      <c r="AN13" s="179"/>
      <c r="AO13" s="179"/>
      <c r="AP13" s="179"/>
      <c r="AQ13" s="179">
        <f>AA13*AE13%*60%</f>
        <v>4.3548</v>
      </c>
      <c r="AR13" s="179"/>
      <c r="AS13" s="179"/>
      <c r="AT13" s="189">
        <f>AA13*AE13%*20%</f>
        <v>1.4516000000000002</v>
      </c>
    </row>
    <row r="14" spans="1:51" ht="15" customHeight="1" x14ac:dyDescent="0.2">
      <c r="A14" s="19"/>
      <c r="B14" s="174"/>
      <c r="C14" s="20"/>
      <c r="D14" s="20"/>
      <c r="E14" s="153">
        <v>280</v>
      </c>
      <c r="F14" s="174"/>
      <c r="G14" s="174"/>
      <c r="H14" s="174"/>
      <c r="I14" s="174"/>
      <c r="J14" s="24"/>
      <c r="K14" s="24"/>
      <c r="L14" s="24"/>
      <c r="M14" s="20"/>
      <c r="N14" s="20"/>
      <c r="O14" s="20"/>
      <c r="P14" s="20"/>
      <c r="Q14" s="174"/>
      <c r="R14" s="174"/>
      <c r="S14" s="174"/>
      <c r="T14" s="174"/>
      <c r="U14" s="174"/>
      <c r="V14" s="174"/>
      <c r="W14" s="174"/>
      <c r="X14" s="174"/>
      <c r="Y14" s="174"/>
      <c r="Z14" s="174"/>
      <c r="AA14" s="21">
        <f t="shared" si="0"/>
        <v>280</v>
      </c>
      <c r="AB14" s="128" t="s">
        <v>215</v>
      </c>
      <c r="AC14" s="19"/>
      <c r="AD14" s="20"/>
      <c r="AE14" s="174">
        <v>80</v>
      </c>
      <c r="AF14" s="21"/>
      <c r="AG14" s="19"/>
      <c r="AH14" s="21"/>
      <c r="AI14" s="19"/>
      <c r="AJ14" s="21"/>
      <c r="AK14" s="22">
        <f t="shared" si="3"/>
        <v>224</v>
      </c>
      <c r="AL14" s="30">
        <f t="shared" ref="AL14:AL19" si="4">AA14*AE14%</f>
        <v>224</v>
      </c>
      <c r="AM14" s="20"/>
      <c r="AN14" s="20"/>
      <c r="AO14" s="20"/>
      <c r="AP14" s="20"/>
      <c r="AQ14" s="20"/>
      <c r="AR14" s="20"/>
      <c r="AS14" s="20"/>
      <c r="AT14" s="21"/>
      <c r="AY14" s="23"/>
    </row>
    <row r="15" spans="1:51" ht="15" customHeight="1" x14ac:dyDescent="0.2">
      <c r="A15" s="19"/>
      <c r="B15" s="174"/>
      <c r="C15" s="20"/>
      <c r="D15" s="20"/>
      <c r="E15" s="174"/>
      <c r="F15" s="174"/>
      <c r="G15" s="174"/>
      <c r="H15" s="174"/>
      <c r="I15" s="153">
        <v>333</v>
      </c>
      <c r="J15" s="153"/>
      <c r="K15" s="153"/>
      <c r="L15" s="153"/>
      <c r="M15" s="20"/>
      <c r="N15" s="20"/>
      <c r="O15" s="20"/>
      <c r="P15" s="20"/>
      <c r="Q15" s="174"/>
      <c r="R15" s="174"/>
      <c r="S15" s="174"/>
      <c r="T15" s="174"/>
      <c r="U15" s="174"/>
      <c r="V15" s="174"/>
      <c r="W15" s="174"/>
      <c r="X15" s="174"/>
      <c r="Y15" s="174"/>
      <c r="Z15" s="174"/>
      <c r="AA15" s="21">
        <f t="shared" si="0"/>
        <v>333</v>
      </c>
      <c r="AB15" s="128" t="s">
        <v>216</v>
      </c>
      <c r="AC15" s="19"/>
      <c r="AD15" s="20"/>
      <c r="AE15" s="174">
        <v>85</v>
      </c>
      <c r="AF15" s="21"/>
      <c r="AG15" s="19"/>
      <c r="AH15" s="21"/>
      <c r="AI15" s="19"/>
      <c r="AJ15" s="21"/>
      <c r="AK15" s="22">
        <f t="shared" si="3"/>
        <v>283.05</v>
      </c>
      <c r="AL15" s="30">
        <f t="shared" si="4"/>
        <v>283.05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374</v>
      </c>
      <c r="W16" s="174"/>
      <c r="X16" s="174"/>
      <c r="Y16" s="174"/>
      <c r="Z16" s="174"/>
      <c r="AA16" s="21">
        <f t="shared" si="0"/>
        <v>374</v>
      </c>
      <c r="AB16" s="128" t="s">
        <v>217</v>
      </c>
      <c r="AC16" s="19"/>
      <c r="AD16" s="20"/>
      <c r="AE16" s="174">
        <v>75</v>
      </c>
      <c r="AF16" s="21"/>
      <c r="AG16" s="19"/>
      <c r="AH16" s="21"/>
      <c r="AI16" s="19"/>
      <c r="AJ16" s="21"/>
      <c r="AK16" s="22">
        <f t="shared" si="3"/>
        <v>280.5</v>
      </c>
      <c r="AL16" s="30">
        <f t="shared" si="4"/>
        <v>280.5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808</v>
      </c>
      <c r="V17" s="2"/>
      <c r="W17" s="174"/>
      <c r="X17" s="174"/>
      <c r="Y17" s="174"/>
      <c r="Z17" s="174"/>
      <c r="AA17" s="21">
        <f t="shared" si="0"/>
        <v>808</v>
      </c>
      <c r="AB17" s="128" t="s">
        <v>218</v>
      </c>
      <c r="AC17" s="19"/>
      <c r="AD17" s="20"/>
      <c r="AE17" s="174">
        <v>65</v>
      </c>
      <c r="AF17" s="21"/>
      <c r="AG17" s="19"/>
      <c r="AH17" s="21"/>
      <c r="AI17" s="19"/>
      <c r="AJ17" s="21"/>
      <c r="AK17" s="22">
        <f t="shared" si="3"/>
        <v>525.20000000000005</v>
      </c>
      <c r="AL17" s="30">
        <f t="shared" si="4"/>
        <v>525.20000000000005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96</v>
      </c>
      <c r="U18" s="2"/>
      <c r="V18" s="2"/>
      <c r="W18" s="174"/>
      <c r="X18" s="174"/>
      <c r="Y18" s="174"/>
      <c r="Z18" s="174"/>
      <c r="AA18" s="21">
        <f t="shared" si="0"/>
        <v>96</v>
      </c>
      <c r="AB18" s="128" t="s">
        <v>219</v>
      </c>
      <c r="AC18" s="19"/>
      <c r="AD18" s="20"/>
      <c r="AE18" s="174">
        <v>65</v>
      </c>
      <c r="AF18" s="21"/>
      <c r="AG18" s="19"/>
      <c r="AH18" s="21"/>
      <c r="AI18" s="19"/>
      <c r="AJ18" s="21"/>
      <c r="AK18" s="22">
        <f t="shared" si="3"/>
        <v>62.400000000000006</v>
      </c>
      <c r="AL18" s="30">
        <f t="shared" si="4"/>
        <v>62.400000000000006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7.8</v>
      </c>
      <c r="P19" s="20"/>
      <c r="Q19" s="174"/>
      <c r="R19" s="174"/>
      <c r="S19" s="174"/>
      <c r="T19" s="174"/>
      <c r="U19" s="174"/>
      <c r="V19" s="174"/>
      <c r="W19" s="174"/>
      <c r="X19" s="174"/>
      <c r="Y19" s="174"/>
      <c r="Z19" s="174"/>
      <c r="AA19" s="21">
        <f t="shared" si="0"/>
        <v>7.8</v>
      </c>
      <c r="AB19" s="128" t="s">
        <v>220</v>
      </c>
      <c r="AC19" s="19"/>
      <c r="AD19" s="20"/>
      <c r="AE19" s="20">
        <v>100</v>
      </c>
      <c r="AF19" s="21"/>
      <c r="AG19" s="19"/>
      <c r="AH19" s="21"/>
      <c r="AI19" s="19"/>
      <c r="AJ19" s="21"/>
      <c r="AK19" s="22">
        <f t="shared" si="3"/>
        <v>7.8</v>
      </c>
      <c r="AL19" s="30">
        <f t="shared" si="4"/>
        <v>7.8</v>
      </c>
      <c r="AM19" s="20"/>
      <c r="AN19" s="20"/>
      <c r="AO19" s="20"/>
      <c r="AP19" s="20"/>
      <c r="AQ19" s="20"/>
      <c r="AR19" s="20"/>
      <c r="AS19" s="20"/>
      <c r="AT19" s="21"/>
      <c r="AY19" s="23"/>
    </row>
    <row r="20" spans="1:51" ht="15" customHeight="1" x14ac:dyDescent="0.2">
      <c r="A20" s="19"/>
      <c r="B20" s="20"/>
      <c r="C20" s="174"/>
      <c r="D20" s="174"/>
      <c r="E20" s="153">
        <v>11.5</v>
      </c>
      <c r="F20" s="174"/>
      <c r="G20" s="174"/>
      <c r="H20" s="174"/>
      <c r="I20" s="2"/>
      <c r="J20" s="2"/>
      <c r="K20" s="2"/>
      <c r="L20" s="2"/>
      <c r="M20" s="174"/>
      <c r="N20" s="174"/>
      <c r="O20" s="174"/>
      <c r="P20" s="174"/>
      <c r="Q20" s="174"/>
      <c r="R20" s="174"/>
      <c r="S20" s="174"/>
      <c r="T20" s="174"/>
      <c r="U20" s="174"/>
      <c r="V20" s="174"/>
      <c r="W20" s="174"/>
      <c r="X20" s="174"/>
      <c r="Y20" s="174"/>
      <c r="Z20" s="174"/>
      <c r="AA20" s="21">
        <f t="shared" si="0"/>
        <v>11.5</v>
      </c>
      <c r="AB20" s="128" t="s">
        <v>24</v>
      </c>
      <c r="AC20" s="19"/>
      <c r="AD20" s="20">
        <v>90</v>
      </c>
      <c r="AE20" s="20"/>
      <c r="AF20" s="21"/>
      <c r="AG20" s="19"/>
      <c r="AH20" s="21"/>
      <c r="AI20" s="19"/>
      <c r="AJ20" s="21"/>
      <c r="AK20" s="22">
        <f t="shared" si="3"/>
        <v>10.35</v>
      </c>
      <c r="AL20" s="30"/>
      <c r="AM20" s="20"/>
      <c r="AN20" s="20"/>
      <c r="AO20" s="20"/>
      <c r="AP20" s="20"/>
      <c r="AQ20" s="20">
        <f>AA20*AD20%</f>
        <v>10.35</v>
      </c>
      <c r="AR20" s="20"/>
      <c r="AS20" s="20"/>
      <c r="AT20" s="21"/>
      <c r="AV20" s="23"/>
    </row>
    <row r="21" spans="1:51" ht="15" customHeight="1" x14ac:dyDescent="0.2">
      <c r="A21" s="19"/>
      <c r="B21" s="20"/>
      <c r="C21" s="174"/>
      <c r="D21" s="174"/>
      <c r="E21" s="174"/>
      <c r="F21" s="174"/>
      <c r="G21" s="174"/>
      <c r="H21" s="174"/>
      <c r="I21" s="153">
        <v>581</v>
      </c>
      <c r="J21" s="153"/>
      <c r="K21" s="153"/>
      <c r="L21" s="153"/>
      <c r="M21" s="174"/>
      <c r="N21" s="174"/>
      <c r="O21" s="174"/>
      <c r="P21" s="174"/>
      <c r="Q21" s="174"/>
      <c r="R21" s="174"/>
      <c r="S21" s="174"/>
      <c r="T21" s="174"/>
      <c r="U21" s="174"/>
      <c r="V21" s="174"/>
      <c r="W21" s="174"/>
      <c r="X21" s="174"/>
      <c r="Y21" s="174"/>
      <c r="Z21" s="174"/>
      <c r="AA21" s="21">
        <f t="shared" si="0"/>
        <v>581</v>
      </c>
      <c r="AB21" s="128" t="s">
        <v>25</v>
      </c>
      <c r="AC21" s="19"/>
      <c r="AD21" s="20">
        <v>90</v>
      </c>
      <c r="AE21" s="20"/>
      <c r="AF21" s="21"/>
      <c r="AG21" s="19"/>
      <c r="AH21" s="21"/>
      <c r="AI21" s="19"/>
      <c r="AJ21" s="21"/>
      <c r="AK21" s="22">
        <f t="shared" si="3"/>
        <v>522.9</v>
      </c>
      <c r="AL21" s="30"/>
      <c r="AM21" s="20"/>
      <c r="AN21" s="20"/>
      <c r="AO21" s="20"/>
      <c r="AP21" s="20"/>
      <c r="AQ21" s="20">
        <f>AA21*AD21%</f>
        <v>522.9</v>
      </c>
      <c r="AR21" s="20"/>
      <c r="AS21" s="20"/>
      <c r="AT21" s="21"/>
      <c r="AV21" s="23"/>
    </row>
    <row r="22" spans="1:51" ht="15" customHeight="1" x14ac:dyDescent="0.2">
      <c r="A22" s="19"/>
      <c r="B22" s="20"/>
      <c r="C22" s="153">
        <v>0</v>
      </c>
      <c r="D22" s="153">
        <v>133.69999999999999</v>
      </c>
      <c r="E22" s="153">
        <v>0</v>
      </c>
      <c r="F22" s="153">
        <v>0</v>
      </c>
      <c r="G22" s="2"/>
      <c r="H22" s="153">
        <v>0</v>
      </c>
      <c r="I22" s="153">
        <v>0</v>
      </c>
      <c r="J22" s="2"/>
      <c r="K22" s="2"/>
      <c r="L22" s="2"/>
      <c r="M22" s="2"/>
      <c r="N22" s="2"/>
      <c r="O22" s="2"/>
      <c r="P22" s="2"/>
      <c r="Q22" s="2"/>
      <c r="R22" s="153">
        <v>0</v>
      </c>
      <c r="S22" s="153">
        <v>0</v>
      </c>
      <c r="T22" s="153">
        <v>0</v>
      </c>
      <c r="U22" s="153">
        <v>0</v>
      </c>
      <c r="V22" s="153">
        <v>11.4</v>
      </c>
      <c r="W22" s="153">
        <v>0</v>
      </c>
      <c r="X22" s="153">
        <v>0</v>
      </c>
      <c r="Y22" s="153">
        <v>0</v>
      </c>
      <c r="Z22" s="153">
        <v>0</v>
      </c>
      <c r="AA22" s="21">
        <f t="shared" si="0"/>
        <v>145.1</v>
      </c>
      <c r="AB22" s="128" t="s">
        <v>637</v>
      </c>
      <c r="AC22" s="19"/>
      <c r="AD22" s="20">
        <v>90</v>
      </c>
      <c r="AE22" s="20"/>
      <c r="AF22" s="21"/>
      <c r="AG22" s="19"/>
      <c r="AH22" s="21"/>
      <c r="AI22" s="19"/>
      <c r="AJ22" s="21"/>
      <c r="AK22" s="22">
        <f t="shared" si="3"/>
        <v>130.59</v>
      </c>
      <c r="AL22" s="175"/>
      <c r="AM22" s="174"/>
      <c r="AN22" s="174"/>
      <c r="AO22" s="174"/>
      <c r="AP22" s="174"/>
      <c r="AQ22" s="174">
        <f>AA22*AD22%</f>
        <v>130.59</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40.1</v>
      </c>
      <c r="P23" s="174"/>
      <c r="Q23" s="174"/>
      <c r="R23" s="174"/>
      <c r="S23" s="174"/>
      <c r="T23" s="174"/>
      <c r="U23" s="174"/>
      <c r="V23" s="174"/>
      <c r="W23" s="174"/>
      <c r="X23" s="174"/>
      <c r="Y23" s="174"/>
      <c r="Z23" s="174"/>
      <c r="AA23" s="21">
        <f t="shared" si="0"/>
        <v>40.1</v>
      </c>
      <c r="AB23" s="128" t="s">
        <v>14</v>
      </c>
      <c r="AC23" s="20">
        <v>100</v>
      </c>
      <c r="AD23" s="20"/>
      <c r="AE23" s="20"/>
      <c r="AF23" s="21"/>
      <c r="AG23" s="19">
        <f>AA23*AC23/100</f>
        <v>40.1</v>
      </c>
      <c r="AH23" s="21"/>
      <c r="AI23" s="19"/>
      <c r="AJ23" s="21"/>
      <c r="AK23" s="22">
        <f t="shared" si="3"/>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729.6</v>
      </c>
      <c r="N24" s="174"/>
      <c r="O24" s="174"/>
      <c r="P24" s="174"/>
      <c r="Q24" s="174"/>
      <c r="R24" s="174"/>
      <c r="S24" s="174"/>
      <c r="T24" s="174"/>
      <c r="U24" s="174"/>
      <c r="V24" s="174"/>
      <c r="W24" s="174"/>
      <c r="X24" s="174"/>
      <c r="Y24" s="174"/>
      <c r="Z24" s="174"/>
      <c r="AA24" s="21">
        <f t="shared" si="0"/>
        <v>729.6</v>
      </c>
      <c r="AB24" s="128" t="s">
        <v>26</v>
      </c>
      <c r="AC24" s="20">
        <v>100</v>
      </c>
      <c r="AD24" s="20"/>
      <c r="AE24" s="20"/>
      <c r="AF24" s="21"/>
      <c r="AG24" s="19">
        <f>AC24*AA24/100</f>
        <v>729.6</v>
      </c>
      <c r="AH24" s="21"/>
      <c r="AI24" s="19"/>
      <c r="AJ24" s="21"/>
      <c r="AK24" s="22">
        <f t="shared" si="3"/>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f t="shared" si="0"/>
        <v>0</v>
      </c>
      <c r="AB25" s="128" t="s">
        <v>75</v>
      </c>
      <c r="AC25" s="170">
        <v>100</v>
      </c>
      <c r="AD25" s="174"/>
      <c r="AE25" s="174"/>
      <c r="AF25" s="169"/>
      <c r="AG25" s="170">
        <f>AC25*AA25/100</f>
        <v>0</v>
      </c>
      <c r="AH25" s="169"/>
      <c r="AI25" s="19"/>
      <c r="AJ25" s="21"/>
      <c r="AK25" s="22">
        <f t="shared" si="3"/>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f t="shared" si="0"/>
        <v>0</v>
      </c>
      <c r="AB26" s="128" t="s">
        <v>638</v>
      </c>
      <c r="AC26" s="153">
        <v>100</v>
      </c>
      <c r="AD26" s="174"/>
      <c r="AE26" s="174"/>
      <c r="AF26" s="169"/>
      <c r="AG26" s="170">
        <f>AC26*AA26/100</f>
        <v>0</v>
      </c>
      <c r="AH26" s="169"/>
      <c r="AI26" s="19"/>
      <c r="AJ26" s="21"/>
      <c r="AK26" s="22">
        <f t="shared" si="3"/>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f>-(I27*33.3%)/AD27%</f>
        <v>0</v>
      </c>
      <c r="S27" s="24">
        <f>-(I27*10.5%)/AD27%</f>
        <v>0</v>
      </c>
      <c r="T27" s="24">
        <f>-(I27*6.6%)/AD27%</f>
        <v>0</v>
      </c>
      <c r="U27" s="24"/>
      <c r="V27" s="24"/>
      <c r="W27" s="24">
        <f>-(I27*49.6%)/AD27%</f>
        <v>0</v>
      </c>
      <c r="X27" s="172"/>
      <c r="Y27" s="172"/>
      <c r="Z27" s="172"/>
      <c r="AA27" s="21">
        <f t="shared" si="0"/>
        <v>0</v>
      </c>
      <c r="AB27" s="129" t="s">
        <v>174</v>
      </c>
      <c r="AC27" s="180"/>
      <c r="AD27" s="172">
        <v>100</v>
      </c>
      <c r="AE27" s="172"/>
      <c r="AF27" s="173"/>
      <c r="AG27" s="181"/>
      <c r="AH27" s="173"/>
      <c r="AI27" s="6"/>
      <c r="AJ27" s="7"/>
      <c r="AK27" s="22">
        <f t="shared" si="3"/>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f>AA28*46%</f>
        <v>0</v>
      </c>
      <c r="S28" s="2"/>
      <c r="T28" s="2"/>
      <c r="U28" s="2"/>
      <c r="V28" s="2"/>
      <c r="W28" s="153">
        <f>AA28*54%</f>
        <v>0</v>
      </c>
      <c r="X28" s="172"/>
      <c r="Y28" s="172"/>
      <c r="Z28" s="172"/>
      <c r="AA28" s="25">
        <v>0</v>
      </c>
      <c r="AB28" s="129" t="s">
        <v>173</v>
      </c>
      <c r="AC28" s="153">
        <v>34.200000000000003</v>
      </c>
      <c r="AD28" s="2"/>
      <c r="AE28" s="172"/>
      <c r="AF28" s="173"/>
      <c r="AG28" s="170">
        <f>AA28*AC28/100</f>
        <v>0</v>
      </c>
      <c r="AH28" s="169"/>
      <c r="AI28" s="170">
        <f>AA28*AE28/100</f>
        <v>0</v>
      </c>
      <c r="AJ28" s="169"/>
      <c r="AK28" s="22">
        <f t="shared" si="3"/>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f t="shared" si="0"/>
        <v>0</v>
      </c>
      <c r="AB29" s="129" t="s">
        <v>184</v>
      </c>
      <c r="AC29" s="155">
        <v>0</v>
      </c>
      <c r="AD29" s="172"/>
      <c r="AE29" s="153">
        <v>0</v>
      </c>
      <c r="AF29" s="169"/>
      <c r="AG29" s="170">
        <f>AA29*AC29/100</f>
        <v>0</v>
      </c>
      <c r="AH29" s="169"/>
      <c r="AI29" s="19">
        <f>AA29*AE29/100</f>
        <v>0</v>
      </c>
      <c r="AJ29" s="21"/>
      <c r="AK29" s="22">
        <f t="shared" si="3"/>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f t="shared" si="0"/>
        <v>0</v>
      </c>
      <c r="AB30" s="129" t="s">
        <v>13</v>
      </c>
      <c r="AC30" s="181"/>
      <c r="AD30" s="172"/>
      <c r="AE30" s="153">
        <v>0</v>
      </c>
      <c r="AF30" s="169"/>
      <c r="AG30" s="170"/>
      <c r="AH30" s="169"/>
      <c r="AI30" s="19">
        <f>AA30*AE30/100</f>
        <v>0</v>
      </c>
      <c r="AJ30" s="21"/>
      <c r="AK30" s="22">
        <f t="shared" si="3"/>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f>AI31-AH31</f>
        <v>0</v>
      </c>
      <c r="R31" s="172"/>
      <c r="S31" s="172"/>
      <c r="T31" s="172"/>
      <c r="U31" s="172"/>
      <c r="V31" s="172"/>
      <c r="W31" s="172"/>
      <c r="X31" s="172"/>
      <c r="Y31" s="172"/>
      <c r="Z31" s="172"/>
      <c r="AA31" s="21">
        <f t="shared" si="0"/>
        <v>0</v>
      </c>
      <c r="AB31" s="129" t="s">
        <v>171</v>
      </c>
      <c r="AC31" s="170"/>
      <c r="AD31" s="174"/>
      <c r="AE31" s="24">
        <v>300</v>
      </c>
      <c r="AF31" s="169"/>
      <c r="AG31" s="181">
        <f>-AH31/$D$2%</f>
        <v>0</v>
      </c>
      <c r="AH31" s="700">
        <v>0</v>
      </c>
      <c r="AI31" s="182">
        <f>AH31*AE31%</f>
        <v>0</v>
      </c>
      <c r="AJ31" s="7"/>
      <c r="AK31" s="22">
        <f t="shared" si="3"/>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f t="shared" si="0"/>
        <v>0</v>
      </c>
      <c r="AB32" s="129" t="s">
        <v>172</v>
      </c>
      <c r="AC32" s="170"/>
      <c r="AD32" s="174"/>
      <c r="AE32" s="24">
        <v>100</v>
      </c>
      <c r="AF32" s="169"/>
      <c r="AG32" s="181">
        <f>-AH32/$D$2%</f>
        <v>0</v>
      </c>
      <c r="AH32" s="700">
        <v>0</v>
      </c>
      <c r="AI32" s="170">
        <f>AH32*AE32%</f>
        <v>0</v>
      </c>
      <c r="AJ32" s="7"/>
      <c r="AK32" s="22">
        <f t="shared" si="3"/>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f t="shared" si="0"/>
        <v>0</v>
      </c>
      <c r="AB33" s="129" t="s">
        <v>27</v>
      </c>
      <c r="AC33" s="181"/>
      <c r="AD33" s="172"/>
      <c r="AE33" s="172"/>
      <c r="AF33" s="156">
        <v>77.3</v>
      </c>
      <c r="AG33" s="170"/>
      <c r="AH33" s="169"/>
      <c r="AI33" s="19">
        <f>-SUM(AI29:AI32)</f>
        <v>0</v>
      </c>
      <c r="AJ33" s="21">
        <f>-AI33*AF33%</f>
        <v>0</v>
      </c>
      <c r="AK33" s="22">
        <f>SUM(AL33:AT33)</f>
        <v>0</v>
      </c>
      <c r="AL33" s="30">
        <f>AJ33*64.6%</f>
        <v>0</v>
      </c>
      <c r="AM33" s="30">
        <f>AJ33*9.8%</f>
        <v>0</v>
      </c>
      <c r="AN33" s="20">
        <f>AJ33*13.2%</f>
        <v>0</v>
      </c>
      <c r="AO33" s="20">
        <f>AJ33*6.9%</f>
        <v>0</v>
      </c>
      <c r="AP33" s="20">
        <f>AJ33*0%</f>
        <v>0</v>
      </c>
      <c r="AQ33" s="20">
        <f>AJ33*4%</f>
        <v>0</v>
      </c>
      <c r="AR33" s="20">
        <f>AJ33*1.5%</f>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f t="shared" si="0"/>
        <v>0</v>
      </c>
      <c r="AB34" s="129" t="s">
        <v>185</v>
      </c>
      <c r="AC34" s="155">
        <v>0</v>
      </c>
      <c r="AD34" s="172"/>
      <c r="AE34" s="153">
        <v>0</v>
      </c>
      <c r="AF34" s="173"/>
      <c r="AG34" s="170">
        <f>AA34*AC34/100</f>
        <v>0</v>
      </c>
      <c r="AH34" s="169"/>
      <c r="AI34" s="19">
        <f>AA34*AE34/100</f>
        <v>0</v>
      </c>
      <c r="AJ34" s="21"/>
      <c r="AK34" s="22">
        <f t="shared" si="3"/>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f t="shared" si="0"/>
        <v>0</v>
      </c>
      <c r="AB35" s="129" t="s">
        <v>7</v>
      </c>
      <c r="AC35" s="181"/>
      <c r="AD35" s="172"/>
      <c r="AE35" s="153">
        <v>0</v>
      </c>
      <c r="AF35" s="173"/>
      <c r="AG35" s="170">
        <f>AA35*AC35/100</f>
        <v>0</v>
      </c>
      <c r="AH35" s="169"/>
      <c r="AI35" s="19">
        <f>AA35*AE35/100</f>
        <v>0</v>
      </c>
      <c r="AJ35" s="21"/>
      <c r="AK35" s="22">
        <f t="shared" si="3"/>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f t="shared" si="0"/>
        <v>0</v>
      </c>
      <c r="AB36" s="130" t="s">
        <v>28</v>
      </c>
      <c r="AC36" s="181"/>
      <c r="AD36" s="172"/>
      <c r="AE36" s="172"/>
      <c r="AF36" s="156">
        <v>77.3</v>
      </c>
      <c r="AG36" s="170"/>
      <c r="AH36" s="169"/>
      <c r="AI36" s="19">
        <f>-SUM(AI34:AI35)</f>
        <v>0</v>
      </c>
      <c r="AJ36" s="21">
        <f>-AI36*AF36%</f>
        <v>0</v>
      </c>
      <c r="AK36" s="22">
        <f t="shared" si="3"/>
        <v>0</v>
      </c>
      <c r="AL36" s="30">
        <f>AJ36*64.6%</f>
        <v>0</v>
      </c>
      <c r="AM36" s="30">
        <f>AJ36*9.8%</f>
        <v>0</v>
      </c>
      <c r="AN36" s="20">
        <f>AJ36*13.2%</f>
        <v>0</v>
      </c>
      <c r="AO36" s="20">
        <f>AJ36*6.9%</f>
        <v>0</v>
      </c>
      <c r="AP36" s="20">
        <f>AJ36*0%</f>
        <v>0</v>
      </c>
      <c r="AQ36" s="20">
        <f>AJ36*4%</f>
        <v>0</v>
      </c>
      <c r="AR36" s="20">
        <f>AJ36*1.5%</f>
        <v>0</v>
      </c>
      <c r="AS36" s="153"/>
      <c r="AT36" s="21"/>
    </row>
    <row r="37" spans="1:47" ht="15" customHeight="1" x14ac:dyDescent="0.2">
      <c r="A37" s="20"/>
      <c r="B37" s="153">
        <v>0</v>
      </c>
      <c r="C37" s="153">
        <v>0</v>
      </c>
      <c r="D37" s="153">
        <v>0</v>
      </c>
      <c r="E37" s="153">
        <v>0</v>
      </c>
      <c r="F37" s="153">
        <v>0</v>
      </c>
      <c r="G37" s="153">
        <v>0</v>
      </c>
      <c r="H37" s="153">
        <v>0</v>
      </c>
      <c r="I37" s="153">
        <v>107.7</v>
      </c>
      <c r="J37" s="692"/>
      <c r="K37" s="153"/>
      <c r="L37" s="153"/>
      <c r="M37" s="153">
        <v>0</v>
      </c>
      <c r="N37" s="153">
        <v>0</v>
      </c>
      <c r="O37" s="153">
        <v>0</v>
      </c>
      <c r="P37" s="153">
        <v>0</v>
      </c>
      <c r="Q37" s="153">
        <v>0</v>
      </c>
      <c r="R37" s="153">
        <v>0</v>
      </c>
      <c r="S37" s="153">
        <v>0</v>
      </c>
      <c r="T37" s="153">
        <v>0</v>
      </c>
      <c r="U37" s="153">
        <v>0</v>
      </c>
      <c r="V37" s="153">
        <v>327.10000000000002</v>
      </c>
      <c r="W37" s="153">
        <v>0</v>
      </c>
      <c r="X37" s="153">
        <v>0</v>
      </c>
      <c r="Y37" s="153">
        <v>2.6</v>
      </c>
      <c r="Z37" s="153">
        <v>0</v>
      </c>
      <c r="AA37" s="21">
        <f t="shared" si="0"/>
        <v>437.40000000000003</v>
      </c>
      <c r="AB37" s="130" t="s">
        <v>186</v>
      </c>
      <c r="AC37" s="155">
        <v>31.204755372656606</v>
      </c>
      <c r="AD37" s="172"/>
      <c r="AE37" s="153">
        <v>54.474256973022392</v>
      </c>
      <c r="AF37" s="173"/>
      <c r="AG37" s="19">
        <f>AA37*AC37/100</f>
        <v>136.4896</v>
      </c>
      <c r="AH37" s="21"/>
      <c r="AI37" s="19">
        <f t="shared" ref="AI37" si="5">AA37*AE37/100</f>
        <v>238.27039999999997</v>
      </c>
      <c r="AJ37" s="21"/>
      <c r="AK37" s="22">
        <f t="shared" si="3"/>
        <v>0</v>
      </c>
      <c r="AL37" s="175"/>
      <c r="AM37" s="174"/>
      <c r="AN37" s="174"/>
      <c r="AO37" s="174"/>
      <c r="AP37" s="174"/>
      <c r="AQ37" s="174"/>
      <c r="AR37" s="174"/>
      <c r="AS37" s="174"/>
      <c r="AT37" s="21"/>
    </row>
    <row r="38" spans="1:47" ht="15" customHeight="1" x14ac:dyDescent="0.2">
      <c r="A38" s="20"/>
      <c r="B38" s="153">
        <v>0</v>
      </c>
      <c r="C38" s="153">
        <v>0</v>
      </c>
      <c r="D38" s="153">
        <v>0</v>
      </c>
      <c r="E38" s="153">
        <v>0.6</v>
      </c>
      <c r="F38" s="153">
        <v>0</v>
      </c>
      <c r="G38" s="153">
        <v>0</v>
      </c>
      <c r="H38" s="153">
        <v>0</v>
      </c>
      <c r="I38" s="153">
        <v>151</v>
      </c>
      <c r="J38" s="31"/>
      <c r="K38" s="153"/>
      <c r="L38" s="153"/>
      <c r="M38" s="153">
        <v>0</v>
      </c>
      <c r="N38" s="153">
        <v>0</v>
      </c>
      <c r="O38" s="153">
        <v>0</v>
      </c>
      <c r="P38" s="153">
        <v>0</v>
      </c>
      <c r="Q38" s="153">
        <v>0</v>
      </c>
      <c r="R38" s="153">
        <v>0</v>
      </c>
      <c r="S38" s="153">
        <v>98.5</v>
      </c>
      <c r="T38" s="153">
        <v>0</v>
      </c>
      <c r="U38" s="153">
        <v>117.5</v>
      </c>
      <c r="V38" s="153">
        <v>407.4</v>
      </c>
      <c r="W38" s="153">
        <v>0</v>
      </c>
      <c r="X38" s="153">
        <v>0</v>
      </c>
      <c r="Y38" s="153">
        <v>0</v>
      </c>
      <c r="Z38" s="153">
        <v>0</v>
      </c>
      <c r="AA38" s="21">
        <f t="shared" si="0"/>
        <v>775</v>
      </c>
      <c r="AB38" s="130" t="s">
        <v>209</v>
      </c>
      <c r="AC38" s="181"/>
      <c r="AD38" s="172"/>
      <c r="AE38" s="153">
        <v>89.341754838709676</v>
      </c>
      <c r="AF38" s="173"/>
      <c r="AG38" s="19">
        <f>AA38*AC38/100</f>
        <v>0</v>
      </c>
      <c r="AH38" s="21"/>
      <c r="AI38" s="19">
        <f>AA38*AE38/100</f>
        <v>692.39859999999999</v>
      </c>
      <c r="AJ38" s="21"/>
      <c r="AK38" s="22">
        <f t="shared" si="3"/>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f>AI39-AH39</f>
        <v>0</v>
      </c>
      <c r="R39" s="2"/>
      <c r="S39" s="2"/>
      <c r="T39" s="2"/>
      <c r="U39" s="2"/>
      <c r="V39" s="2"/>
      <c r="W39" s="2"/>
      <c r="X39" s="2"/>
      <c r="Y39" s="2"/>
      <c r="Z39" s="2"/>
      <c r="AA39" s="21">
        <f t="shared" si="0"/>
        <v>0</v>
      </c>
      <c r="AB39" s="130" t="s">
        <v>210</v>
      </c>
      <c r="AC39" s="170"/>
      <c r="AD39" s="174"/>
      <c r="AE39" s="153">
        <v>0</v>
      </c>
      <c r="AF39" s="169"/>
      <c r="AG39" s="181">
        <f>-AH39/$D$2%</f>
        <v>0</v>
      </c>
      <c r="AH39" s="700">
        <v>0</v>
      </c>
      <c r="AI39" s="170">
        <f>(AH39+I39)*AE39%</f>
        <v>0</v>
      </c>
      <c r="AJ39" s="173"/>
      <c r="AK39" s="22">
        <f t="shared" si="3"/>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f t="shared" si="0"/>
        <v>0</v>
      </c>
      <c r="AB40" s="130" t="s">
        <v>211</v>
      </c>
      <c r="AC40" s="170"/>
      <c r="AD40" s="174"/>
      <c r="AE40" s="153">
        <v>0</v>
      </c>
      <c r="AF40" s="169"/>
      <c r="AG40" s="181">
        <f>-AH40/$D$2%</f>
        <v>0</v>
      </c>
      <c r="AH40" s="700">
        <v>0</v>
      </c>
      <c r="AI40" s="181">
        <f>AH40*AE40%</f>
        <v>0</v>
      </c>
      <c r="AJ40" s="173"/>
      <c r="AK40" s="22">
        <f t="shared" si="3"/>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f t="shared" si="0"/>
        <v>0</v>
      </c>
      <c r="AB41" s="130" t="s">
        <v>212</v>
      </c>
      <c r="AC41" s="181"/>
      <c r="AD41" s="172"/>
      <c r="AE41" s="153">
        <v>0</v>
      </c>
      <c r="AF41" s="173"/>
      <c r="AG41" s="19"/>
      <c r="AH41" s="21"/>
      <c r="AI41" s="19">
        <f t="shared" ref="AI41:AI42" si="6">AA41*AE41/100</f>
        <v>0</v>
      </c>
      <c r="AJ41" s="21"/>
      <c r="AK41" s="22">
        <f t="shared" si="3"/>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f t="shared" si="0"/>
        <v>0</v>
      </c>
      <c r="AB42" s="130" t="s">
        <v>213</v>
      </c>
      <c r="AC42" s="181"/>
      <c r="AD42" s="172"/>
      <c r="AE42" s="153">
        <v>100</v>
      </c>
      <c r="AF42" s="173"/>
      <c r="AG42" s="19">
        <f>AA42*AC42/100</f>
        <v>0</v>
      </c>
      <c r="AH42" s="21"/>
      <c r="AI42" s="19">
        <f t="shared" si="6"/>
        <v>0</v>
      </c>
      <c r="AJ42" s="21"/>
      <c r="AK42" s="22">
        <f t="shared" si="3"/>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f t="shared" si="0"/>
        <v>0</v>
      </c>
      <c r="AB43" s="130" t="s">
        <v>214</v>
      </c>
      <c r="AC43" s="181"/>
      <c r="AD43" s="172"/>
      <c r="AE43" s="172"/>
      <c r="AF43" s="156">
        <v>77.3</v>
      </c>
      <c r="AG43" s="170"/>
      <c r="AH43" s="169"/>
      <c r="AI43" s="170">
        <f>-SUM(AI37:AI42)</f>
        <v>-930.66899999999998</v>
      </c>
      <c r="AJ43" s="169">
        <f>-AI43*AF43%</f>
        <v>719.40713700000003</v>
      </c>
      <c r="AK43" s="22">
        <f t="shared" si="3"/>
        <v>719.40713699999992</v>
      </c>
      <c r="AL43" s="30">
        <f>AJ43*64.6%</f>
        <v>464.73701050199998</v>
      </c>
      <c r="AM43" s="30">
        <f>AJ43*9.8%</f>
        <v>70.501899426000008</v>
      </c>
      <c r="AN43" s="20">
        <f>AJ43*13.2%</f>
        <v>94.961742084000008</v>
      </c>
      <c r="AO43" s="20">
        <f>AJ43*6.9%</f>
        <v>49.639092453000004</v>
      </c>
      <c r="AP43" s="20">
        <f>AJ43*0%</f>
        <v>0</v>
      </c>
      <c r="AQ43" s="20">
        <f>AJ43*4%</f>
        <v>28.776285480000002</v>
      </c>
      <c r="AR43" s="20">
        <f>AJ43*1.5%</f>
        <v>10.791107054999999</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f t="shared" si="0"/>
        <v>0</v>
      </c>
      <c r="AB44" s="130" t="s">
        <v>187</v>
      </c>
      <c r="AC44" s="141">
        <v>0</v>
      </c>
      <c r="AD44" s="172"/>
      <c r="AE44" s="2">
        <v>0</v>
      </c>
      <c r="AF44" s="156"/>
      <c r="AG44" s="19">
        <f>AA44*AC44/100</f>
        <v>0</v>
      </c>
      <c r="AH44" s="169"/>
      <c r="AI44" s="170">
        <f>AA44*AE44/100</f>
        <v>0</v>
      </c>
      <c r="AJ44" s="169"/>
      <c r="AK44" s="22">
        <f t="shared" ref="AK44:AK59" si="7">SUM(AL44:AT44)</f>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f t="shared" si="0"/>
        <v>0</v>
      </c>
      <c r="AB45" s="130" t="s">
        <v>188</v>
      </c>
      <c r="AC45" s="181"/>
      <c r="AD45" s="172"/>
      <c r="AE45" s="153">
        <v>99</v>
      </c>
      <c r="AF45" s="173"/>
      <c r="AG45" s="170">
        <f>-AH45/$D$2%</f>
        <v>0</v>
      </c>
      <c r="AH45" s="169"/>
      <c r="AI45" s="170">
        <f>AA45*AE45%</f>
        <v>0</v>
      </c>
      <c r="AJ45" s="169"/>
      <c r="AK45" s="22">
        <f t="shared" si="7"/>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f>AI46-AH46</f>
        <v>0</v>
      </c>
      <c r="R46" s="24"/>
      <c r="S46" s="24"/>
      <c r="T46" s="24"/>
      <c r="U46" s="24"/>
      <c r="V46" s="24"/>
      <c r="W46" s="24"/>
      <c r="X46" s="24"/>
      <c r="Y46" s="24"/>
      <c r="Z46" s="24"/>
      <c r="AA46" s="29">
        <f t="shared" si="0"/>
        <v>0</v>
      </c>
      <c r="AB46" s="130" t="s">
        <v>189</v>
      </c>
      <c r="AC46" s="170"/>
      <c r="AD46" s="174"/>
      <c r="AE46" s="153">
        <v>300</v>
      </c>
      <c r="AF46" s="169"/>
      <c r="AG46" s="170">
        <f>-AH46/$D$2%</f>
        <v>0</v>
      </c>
      <c r="AH46" s="156"/>
      <c r="AI46" s="170">
        <f>(AH46+I46)*AE46%</f>
        <v>0</v>
      </c>
      <c r="AJ46" s="21"/>
      <c r="AK46" s="22">
        <f t="shared" si="7"/>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f t="shared" si="0"/>
        <v>0</v>
      </c>
      <c r="AB47" s="130" t="s">
        <v>190</v>
      </c>
      <c r="AC47" s="170"/>
      <c r="AD47" s="174"/>
      <c r="AE47" s="153">
        <v>100</v>
      </c>
      <c r="AF47" s="169"/>
      <c r="AG47" s="170">
        <f>-AH47/$D$2%</f>
        <v>0</v>
      </c>
      <c r="AH47" s="156"/>
      <c r="AI47" s="181">
        <f>AH47*AE47%</f>
        <v>0</v>
      </c>
      <c r="AJ47" s="169"/>
      <c r="AK47" s="22">
        <f t="shared" si="7"/>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f t="shared" si="0"/>
        <v>0</v>
      </c>
      <c r="AB48" s="130" t="s">
        <v>191</v>
      </c>
      <c r="AC48" s="170"/>
      <c r="AD48" s="174"/>
      <c r="AE48" s="24">
        <v>100</v>
      </c>
      <c r="AF48" s="169"/>
      <c r="AG48" s="170"/>
      <c r="AH48" s="169"/>
      <c r="AI48" s="170">
        <f>AA48*AE48/100</f>
        <v>0</v>
      </c>
      <c r="AJ48" s="169"/>
      <c r="AK48" s="22">
        <f t="shared" si="7"/>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f t="shared" si="0"/>
        <v>0</v>
      </c>
      <c r="AB49" s="130" t="s">
        <v>192</v>
      </c>
      <c r="AC49" s="181"/>
      <c r="AD49" s="172"/>
      <c r="AE49" s="153">
        <v>100</v>
      </c>
      <c r="AF49" s="173"/>
      <c r="AG49" s="170">
        <f>AA49*AC49%</f>
        <v>0</v>
      </c>
      <c r="AH49" s="169"/>
      <c r="AI49" s="170">
        <f>AA49*AE49%</f>
        <v>0</v>
      </c>
      <c r="AJ49" s="169"/>
      <c r="AK49" s="22">
        <f t="shared" si="7"/>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f t="shared" si="0"/>
        <v>0</v>
      </c>
      <c r="AB50" s="130" t="s">
        <v>193</v>
      </c>
      <c r="AC50" s="181"/>
      <c r="AD50" s="172"/>
      <c r="AE50" s="2">
        <v>100</v>
      </c>
      <c r="AF50" s="173"/>
      <c r="AG50" s="170"/>
      <c r="AH50" s="169"/>
      <c r="AI50" s="33"/>
      <c r="AJ50" s="169"/>
      <c r="AK50" s="22">
        <f t="shared" si="7"/>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f t="shared" si="0"/>
        <v>0</v>
      </c>
      <c r="AB51" s="130" t="s">
        <v>194</v>
      </c>
      <c r="AC51" s="181"/>
      <c r="AD51" s="172"/>
      <c r="AE51" s="172"/>
      <c r="AF51" s="156">
        <v>77.3</v>
      </c>
      <c r="AG51" s="170"/>
      <c r="AH51" s="169"/>
      <c r="AI51" s="6">
        <f>-SUM(AI44:AI50)</f>
        <v>0</v>
      </c>
      <c r="AJ51" s="169">
        <f>-AI51*AF51/100</f>
        <v>0</v>
      </c>
      <c r="AK51" s="22">
        <f t="shared" si="7"/>
        <v>0</v>
      </c>
      <c r="AL51" s="30">
        <f>AJ51*64.6%</f>
        <v>0</v>
      </c>
      <c r="AM51" s="30">
        <f>AJ51*9.8%</f>
        <v>0</v>
      </c>
      <c r="AN51" s="20">
        <f>AJ51*13.2%</f>
        <v>0</v>
      </c>
      <c r="AO51" s="20">
        <f>AJ51*6.9%</f>
        <v>0</v>
      </c>
      <c r="AP51" s="20">
        <f>AJ51*0%</f>
        <v>0</v>
      </c>
      <c r="AQ51" s="20">
        <f>AJ51*4%</f>
        <v>0</v>
      </c>
      <c r="AR51" s="20">
        <f>AJ51*1.5%</f>
        <v>0</v>
      </c>
      <c r="AS51" s="153"/>
      <c r="AT51" s="21"/>
    </row>
    <row r="52" spans="1:46" ht="15" customHeight="1" x14ac:dyDescent="0.2">
      <c r="A52" s="20"/>
      <c r="B52" s="153">
        <v>0</v>
      </c>
      <c r="C52" s="153">
        <v>0</v>
      </c>
      <c r="D52" s="153">
        <v>0</v>
      </c>
      <c r="E52" s="153">
        <v>0</v>
      </c>
      <c r="F52" s="153">
        <v>0</v>
      </c>
      <c r="G52" s="153">
        <v>0</v>
      </c>
      <c r="H52" s="153">
        <v>0</v>
      </c>
      <c r="I52" s="153">
        <v>3.7</v>
      </c>
      <c r="J52" s="31"/>
      <c r="K52" s="2"/>
      <c r="L52" s="2"/>
      <c r="M52" s="153">
        <v>0</v>
      </c>
      <c r="N52" s="153">
        <v>0</v>
      </c>
      <c r="O52" s="153">
        <v>0</v>
      </c>
      <c r="P52" s="153">
        <v>0</v>
      </c>
      <c r="Q52" s="153">
        <v>0</v>
      </c>
      <c r="R52" s="153">
        <v>20.102000000000004</v>
      </c>
      <c r="S52" s="153">
        <v>0</v>
      </c>
      <c r="T52" s="153">
        <v>0</v>
      </c>
      <c r="U52" s="153">
        <v>0</v>
      </c>
      <c r="V52" s="153">
        <v>0</v>
      </c>
      <c r="W52" s="153">
        <v>23.598000000000003</v>
      </c>
      <c r="X52" s="153">
        <v>0</v>
      </c>
      <c r="Y52" s="153">
        <v>0</v>
      </c>
      <c r="Z52" s="153">
        <v>0</v>
      </c>
      <c r="AA52" s="29">
        <f t="shared" si="0"/>
        <v>47.400000000000006</v>
      </c>
      <c r="AB52" s="130" t="s">
        <v>195</v>
      </c>
      <c r="AC52" s="155">
        <v>35.300000000000004</v>
      </c>
      <c r="AD52" s="172"/>
      <c r="AE52" s="153">
        <v>49.499999999999993</v>
      </c>
      <c r="AF52" s="173"/>
      <c r="AG52" s="19">
        <f t="shared" ref="AG52:AG54" si="8">AC52/100*AA52</f>
        <v>16.732200000000002</v>
      </c>
      <c r="AH52" s="21"/>
      <c r="AI52" s="19">
        <f>AA52*AE52/100</f>
        <v>23.462999999999997</v>
      </c>
      <c r="AJ52" s="21"/>
      <c r="AK52" s="22">
        <f t="shared" si="7"/>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3</v>
      </c>
      <c r="W53" s="24">
        <v>0</v>
      </c>
      <c r="X53" s="24">
        <v>0</v>
      </c>
      <c r="Y53" s="24">
        <v>0</v>
      </c>
      <c r="Z53" s="24">
        <v>0</v>
      </c>
      <c r="AA53" s="29">
        <f t="shared" si="0"/>
        <v>3</v>
      </c>
      <c r="AB53" s="130" t="s">
        <v>196</v>
      </c>
      <c r="AC53" s="181"/>
      <c r="AD53" s="172"/>
      <c r="AE53" s="153">
        <v>97.1</v>
      </c>
      <c r="AF53" s="173"/>
      <c r="AG53" s="19">
        <f t="shared" si="8"/>
        <v>0</v>
      </c>
      <c r="AH53" s="21"/>
      <c r="AI53" s="19">
        <f>AA53*AE53/100</f>
        <v>2.9129999999999994</v>
      </c>
      <c r="AJ53" s="21"/>
      <c r="AK53" s="22">
        <f t="shared" si="7"/>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f t="shared" si="0"/>
        <v>0</v>
      </c>
      <c r="AB54" s="130" t="s">
        <v>197</v>
      </c>
      <c r="AC54" s="181"/>
      <c r="AD54" s="172"/>
      <c r="AE54" s="2">
        <v>100</v>
      </c>
      <c r="AF54" s="173"/>
      <c r="AG54" s="19">
        <f t="shared" si="8"/>
        <v>0</v>
      </c>
      <c r="AH54" s="156"/>
      <c r="AI54" s="33">
        <v>0</v>
      </c>
      <c r="AJ54" s="21"/>
      <c r="AK54" s="22">
        <f t="shared" si="7"/>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f t="shared" si="0"/>
        <v>0</v>
      </c>
      <c r="AB55" s="675" t="s">
        <v>198</v>
      </c>
      <c r="AC55" s="6"/>
      <c r="AD55" s="148"/>
      <c r="AE55" s="148"/>
      <c r="AF55" s="183"/>
      <c r="AG55" s="19">
        <f>-AH55</f>
        <v>0</v>
      </c>
      <c r="AH55" s="8">
        <v>0</v>
      </c>
      <c r="AI55" s="141"/>
      <c r="AJ55" s="21"/>
      <c r="AK55" s="22">
        <f t="shared" si="7"/>
        <v>0</v>
      </c>
      <c r="AL55" s="175"/>
      <c r="AM55" s="174"/>
      <c r="AN55" s="174"/>
      <c r="AO55" s="174"/>
      <c r="AP55" s="174"/>
      <c r="AQ55" s="174">
        <f>AH55</f>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f t="shared" si="0"/>
        <v>0</v>
      </c>
      <c r="AB56" s="675" t="s">
        <v>656</v>
      </c>
      <c r="AC56" s="6"/>
      <c r="AD56" s="148"/>
      <c r="AE56" s="148"/>
      <c r="AF56" s="173"/>
      <c r="AG56" s="19"/>
      <c r="AH56" s="173"/>
      <c r="AI56" s="141">
        <v>-24.8</v>
      </c>
      <c r="AJ56" s="21"/>
      <c r="AK56" s="22">
        <f t="shared" si="7"/>
        <v>24.8</v>
      </c>
      <c r="AL56" s="175"/>
      <c r="AM56" s="174"/>
      <c r="AN56" s="174"/>
      <c r="AO56" s="174"/>
      <c r="AP56" s="174"/>
      <c r="AQ56" s="174">
        <f>-AI56</f>
        <v>24.8</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f t="shared" si="0"/>
        <v>0</v>
      </c>
      <c r="AB57" s="130" t="s">
        <v>200</v>
      </c>
      <c r="AC57" s="6">
        <v>65</v>
      </c>
      <c r="AD57" s="148"/>
      <c r="AE57" s="148">
        <v>15</v>
      </c>
      <c r="AF57" s="173"/>
      <c r="AG57" s="19">
        <f>-AH57/$D$2%</f>
        <v>0</v>
      </c>
      <c r="AH57" s="173"/>
      <c r="AI57" s="141">
        <f>AH57*AE57%</f>
        <v>0</v>
      </c>
      <c r="AJ57" s="21">
        <f>AI57*AF60%</f>
        <v>0</v>
      </c>
      <c r="AK57" s="22">
        <f t="shared" si="7"/>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f t="shared" si="0"/>
        <v>0</v>
      </c>
      <c r="AB58" s="130" t="s">
        <v>201</v>
      </c>
      <c r="AC58" s="6">
        <v>630</v>
      </c>
      <c r="AD58" s="148"/>
      <c r="AE58" s="148"/>
      <c r="AF58" s="173"/>
      <c r="AG58" s="19">
        <f>-AH58/$D$2%</f>
        <v>0</v>
      </c>
      <c r="AH58" s="173"/>
      <c r="AI58" s="141">
        <f t="shared" ref="AI58:AI59" si="9">AH58*AE58%</f>
        <v>0</v>
      </c>
      <c r="AJ58" s="21">
        <f t="shared" ref="AJ58:AJ59" si="10">AI58*AF61%</f>
        <v>0</v>
      </c>
      <c r="AK58" s="22">
        <f t="shared" si="7"/>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f t="shared" si="0"/>
        <v>0</v>
      </c>
      <c r="AB59" s="130" t="s">
        <v>202</v>
      </c>
      <c r="AC59" s="6"/>
      <c r="AD59" s="148"/>
      <c r="AE59" s="148"/>
      <c r="AF59" s="173"/>
      <c r="AG59" s="19">
        <f>-AH59/$D$2%</f>
        <v>0</v>
      </c>
      <c r="AH59" s="173"/>
      <c r="AI59" s="141">
        <f t="shared" si="9"/>
        <v>0</v>
      </c>
      <c r="AJ59" s="21">
        <f t="shared" si="10"/>
        <v>0</v>
      </c>
      <c r="AK59" s="22">
        <f t="shared" si="7"/>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f t="shared" si="0"/>
        <v>0</v>
      </c>
      <c r="AB60" s="130" t="s">
        <v>203</v>
      </c>
      <c r="AC60" s="6"/>
      <c r="AD60" s="148"/>
      <c r="AE60" s="148"/>
      <c r="AF60" s="156">
        <v>77.3</v>
      </c>
      <c r="AG60" s="19"/>
      <c r="AH60" s="21"/>
      <c r="AI60" s="19">
        <f>-SUM(AI52:AI59)</f>
        <v>-1.575999999999997</v>
      </c>
      <c r="AJ60" s="21">
        <f>-AI60*AF60/100</f>
        <v>1.2182479999999976</v>
      </c>
      <c r="AK60" s="22">
        <f t="shared" ref="AK60:AK61" si="11">SUM(AL60:AT60)</f>
        <v>1.2182479999999976</v>
      </c>
      <c r="AL60" s="30">
        <f>AJ60*64.6%</f>
        <v>0.78698820799999836</v>
      </c>
      <c r="AM60" s="30">
        <f>AJ60*9.8%</f>
        <v>0.11938830399999976</v>
      </c>
      <c r="AN60" s="20">
        <f>AJ60*13.2%</f>
        <v>0.16080873599999967</v>
      </c>
      <c r="AO60" s="20">
        <f>AJ60*6.9%</f>
        <v>8.4059111999999839E-2</v>
      </c>
      <c r="AP60" s="20">
        <f>AJ60*0%</f>
        <v>0</v>
      </c>
      <c r="AQ60" s="20">
        <f>AJ60*4%</f>
        <v>4.8729919999999906E-2</v>
      </c>
      <c r="AR60" s="20">
        <f>AJ60*1.5%</f>
        <v>1.8273719999999962E-2</v>
      </c>
      <c r="AS60" s="153"/>
      <c r="AT60" s="21"/>
    </row>
    <row r="61" spans="1:46" ht="15" customHeight="1" x14ac:dyDescent="0.2">
      <c r="A61" s="19"/>
      <c r="B61" s="20"/>
      <c r="C61" s="20"/>
      <c r="D61" s="20"/>
      <c r="E61" s="20"/>
      <c r="F61" s="172"/>
      <c r="G61" s="172"/>
      <c r="H61" s="153">
        <f>AA61-S61</f>
        <v>490.56990441451183</v>
      </c>
      <c r="I61" s="172"/>
      <c r="J61" s="172"/>
      <c r="K61" s="172"/>
      <c r="L61" s="172"/>
      <c r="M61" s="172"/>
      <c r="N61" s="172"/>
      <c r="O61" s="172"/>
      <c r="P61" s="172"/>
      <c r="Q61" s="172"/>
      <c r="R61" s="172"/>
      <c r="S61" s="153">
        <f>AA61*3.2%</f>
        <v>16.217186922793779</v>
      </c>
      <c r="T61" s="174"/>
      <c r="U61" s="20"/>
      <c r="V61" s="20"/>
      <c r="W61" s="20"/>
      <c r="X61" s="20"/>
      <c r="Y61" s="20"/>
      <c r="Z61" s="20"/>
      <c r="AA61" s="153">
        <v>506.78709133730558</v>
      </c>
      <c r="AB61" s="130" t="s">
        <v>204</v>
      </c>
      <c r="AC61" s="170"/>
      <c r="AD61" s="174">
        <v>19</v>
      </c>
      <c r="AE61" s="174"/>
      <c r="AF61" s="21"/>
      <c r="AG61" s="19"/>
      <c r="AH61" s="21"/>
      <c r="AI61" s="19"/>
      <c r="AJ61" s="21"/>
      <c r="AK61" s="22">
        <f t="shared" si="11"/>
        <v>96.289547354088057</v>
      </c>
      <c r="AL61" s="30"/>
      <c r="AM61" s="20"/>
      <c r="AN61" s="20"/>
      <c r="AO61" s="20"/>
      <c r="AP61" s="20"/>
      <c r="AQ61" s="20"/>
      <c r="AR61" s="20"/>
      <c r="AS61" s="20"/>
      <c r="AT61" s="21">
        <f>AA61*AD61/100</f>
        <v>96.289547354088057</v>
      </c>
    </row>
    <row r="62" spans="1:46" ht="15" customHeight="1" x14ac:dyDescent="0.2">
      <c r="A62" s="19"/>
      <c r="B62" s="20"/>
      <c r="C62" s="20"/>
      <c r="D62" s="20"/>
      <c r="E62" s="20"/>
      <c r="F62" s="153">
        <f>AA62-S62</f>
        <v>624.67163798472927</v>
      </c>
      <c r="G62" s="172"/>
      <c r="H62" s="172"/>
      <c r="I62" s="172"/>
      <c r="J62" s="172"/>
      <c r="K62" s="172"/>
      <c r="L62" s="172"/>
      <c r="M62" s="172"/>
      <c r="N62" s="172"/>
      <c r="O62" s="172"/>
      <c r="P62" s="172"/>
      <c r="Q62" s="172"/>
      <c r="R62" s="172"/>
      <c r="S62" s="153">
        <f>AA62*7%</f>
        <v>47.018295332183925</v>
      </c>
      <c r="T62" s="174"/>
      <c r="U62" s="20"/>
      <c r="V62" s="20"/>
      <c r="W62" s="20"/>
      <c r="X62" s="20"/>
      <c r="Y62" s="20"/>
      <c r="Z62" s="20"/>
      <c r="AA62" s="153">
        <v>671.6899333169132</v>
      </c>
      <c r="AB62" s="130" t="s">
        <v>205</v>
      </c>
      <c r="AC62" s="170"/>
      <c r="AD62" s="174">
        <v>24.3</v>
      </c>
      <c r="AE62" s="174"/>
      <c r="AF62" s="21"/>
      <c r="AG62" s="19"/>
      <c r="AH62" s="21"/>
      <c r="AI62" s="19"/>
      <c r="AJ62" s="21"/>
      <c r="AK62" s="22">
        <f t="shared" ref="AK62:AK80" si="12">SUM(AL62:AT62)</f>
        <v>163.22065379600991</v>
      </c>
      <c r="AL62" s="30"/>
      <c r="AM62" s="20"/>
      <c r="AN62" s="20"/>
      <c r="AO62" s="20"/>
      <c r="AP62" s="20"/>
      <c r="AQ62" s="20"/>
      <c r="AR62" s="20"/>
      <c r="AS62" s="20"/>
      <c r="AT62" s="21">
        <f>AA62*AD62/100</f>
        <v>163.22065379600991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f t="shared" ref="AA63:AA66" si="13">SUM(A63:Z63)</f>
        <v>0</v>
      </c>
      <c r="AB63" s="128" t="s">
        <v>649</v>
      </c>
      <c r="AC63" s="170"/>
      <c r="AD63" s="174">
        <v>22.6</v>
      </c>
      <c r="AE63" s="174"/>
      <c r="AF63" s="21"/>
      <c r="AG63" s="19"/>
      <c r="AH63" s="21"/>
      <c r="AI63" s="19"/>
      <c r="AJ63" s="21"/>
      <c r="AK63" s="22">
        <f t="shared" si="12"/>
        <v>0</v>
      </c>
      <c r="AL63" s="30"/>
      <c r="AM63" s="20"/>
      <c r="AN63" s="20"/>
      <c r="AO63" s="20"/>
      <c r="AP63" s="20"/>
      <c r="AQ63" s="20"/>
      <c r="AR63" s="20"/>
      <c r="AS63" s="20"/>
      <c r="AT63" s="21">
        <f>AA63*AD63/100</f>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f t="shared" si="13"/>
        <v>0</v>
      </c>
      <c r="AB64" s="129" t="s">
        <v>650</v>
      </c>
      <c r="AC64" s="170">
        <v>67.7</v>
      </c>
      <c r="AD64" s="174"/>
      <c r="AE64" s="174"/>
      <c r="AF64" s="21"/>
      <c r="AG64" s="19">
        <f t="shared" ref="AG64:AG65" si="14">-AH64/$D$2%</f>
        <v>-4.6910841233174495E-2</v>
      </c>
      <c r="AH64" s="153">
        <v>4.335030838357655E-2</v>
      </c>
      <c r="AI64" s="19"/>
      <c r="AJ64" s="21"/>
      <c r="AK64" s="22">
        <f t="shared" ref="AK64" si="15">SUM(AL64:AT64)</f>
        <v>2.9348158775681327E-2</v>
      </c>
      <c r="AL64" s="30"/>
      <c r="AM64" s="20"/>
      <c r="AN64" s="20"/>
      <c r="AO64" s="20"/>
      <c r="AP64" s="20"/>
      <c r="AQ64" s="20"/>
      <c r="AR64" s="20"/>
      <c r="AS64" s="20"/>
      <c r="AT64" s="21">
        <f>AH64*AC64%</f>
        <v>2.9348158775681327E-2</v>
      </c>
    </row>
    <row r="65" spans="1:46" ht="15" customHeight="1" x14ac:dyDescent="0.2">
      <c r="A65" s="19"/>
      <c r="B65" s="20"/>
      <c r="C65" s="20"/>
      <c r="D65" s="20"/>
      <c r="E65" s="20"/>
      <c r="F65" s="153"/>
      <c r="G65" s="172"/>
      <c r="H65" s="172">
        <f>AA65-S65</f>
        <v>0</v>
      </c>
      <c r="I65" s="172"/>
      <c r="J65" s="172"/>
      <c r="K65" s="172"/>
      <c r="L65" s="172"/>
      <c r="M65" s="172"/>
      <c r="N65" s="172"/>
      <c r="O65" s="172"/>
      <c r="P65" s="172"/>
      <c r="Q65" s="172"/>
      <c r="R65" s="172"/>
      <c r="S65" s="153">
        <f>AA65*7%</f>
        <v>0</v>
      </c>
      <c r="T65" s="174"/>
      <c r="U65" s="20"/>
      <c r="V65" s="20"/>
      <c r="W65" s="20"/>
      <c r="X65" s="20"/>
      <c r="Y65" s="20"/>
      <c r="Z65" s="20"/>
      <c r="AA65" s="153">
        <v>0</v>
      </c>
      <c r="AB65" s="130" t="s">
        <v>645</v>
      </c>
      <c r="AC65" s="170">
        <f>AC64</f>
        <v>67.7</v>
      </c>
      <c r="AD65" s="174">
        <v>19</v>
      </c>
      <c r="AE65" s="174"/>
      <c r="AF65" s="21"/>
      <c r="AG65" s="19">
        <f t="shared" si="14"/>
        <v>0</v>
      </c>
      <c r="AH65" s="153">
        <f>AA65*AD65%/AC65%</f>
        <v>0</v>
      </c>
      <c r="AI65" s="19"/>
      <c r="AJ65" s="21"/>
      <c r="AK65" s="22">
        <f t="shared" si="12"/>
        <v>0</v>
      </c>
      <c r="AL65" s="30"/>
      <c r="AM65" s="20"/>
      <c r="AN65" s="20"/>
      <c r="AO65" s="20"/>
      <c r="AP65" s="20"/>
      <c r="AQ65" s="20"/>
      <c r="AR65" s="20"/>
      <c r="AS65" s="20"/>
      <c r="AT65" s="21">
        <f>AH65*AC65%+AA65*AD65%</f>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f t="shared" si="13"/>
        <v>0</v>
      </c>
      <c r="AB66" s="128" t="s">
        <v>644</v>
      </c>
      <c r="AC66" s="170"/>
      <c r="AD66" s="174">
        <v>36.4</v>
      </c>
      <c r="AE66" s="174"/>
      <c r="AF66" s="21"/>
      <c r="AG66" s="19"/>
      <c r="AH66" s="21"/>
      <c r="AI66" s="19"/>
      <c r="AJ66" s="21"/>
      <c r="AK66" s="22">
        <f t="shared" si="12"/>
        <v>0</v>
      </c>
      <c r="AL66" s="30"/>
      <c r="AM66" s="20"/>
      <c r="AN66" s="20"/>
      <c r="AO66" s="20"/>
      <c r="AP66" s="20"/>
      <c r="AQ66" s="20"/>
      <c r="AR66" s="20"/>
      <c r="AS66" s="20"/>
      <c r="AT66" s="21">
        <f>AA66*AD66%</f>
        <v>0</v>
      </c>
    </row>
    <row r="67" spans="1:46" ht="15" customHeight="1" x14ac:dyDescent="0.2">
      <c r="A67" s="19"/>
      <c r="B67" s="20"/>
      <c r="C67" s="20"/>
      <c r="D67" s="20"/>
      <c r="E67" s="20"/>
      <c r="F67" s="153">
        <f>AA67-S67</f>
        <v>55.909037871997675</v>
      </c>
      <c r="G67" s="172"/>
      <c r="H67" s="172"/>
      <c r="I67" s="172"/>
      <c r="J67" s="172"/>
      <c r="K67" s="172"/>
      <c r="L67" s="172"/>
      <c r="M67" s="172"/>
      <c r="N67" s="172"/>
      <c r="O67" s="172"/>
      <c r="P67" s="172"/>
      <c r="Q67" s="172"/>
      <c r="R67" s="172"/>
      <c r="S67" s="153">
        <f>AA67*7%</f>
        <v>4.2082071516557393</v>
      </c>
      <c r="T67" s="174"/>
      <c r="U67" s="20"/>
      <c r="V67" s="20"/>
      <c r="W67" s="20"/>
      <c r="X67" s="20"/>
      <c r="Y67" s="20"/>
      <c r="Z67" s="20"/>
      <c r="AA67" s="153">
        <v>60.117245023653417</v>
      </c>
      <c r="AB67" s="131" t="s">
        <v>206</v>
      </c>
      <c r="AC67" s="170"/>
      <c r="AD67" s="174">
        <v>29.6</v>
      </c>
      <c r="AE67" s="174"/>
      <c r="AF67" s="21"/>
      <c r="AG67" s="19">
        <f>-AH67/$D$2%</f>
        <v>0</v>
      </c>
      <c r="AH67" s="21"/>
      <c r="AI67" s="19"/>
      <c r="AJ67" s="21"/>
      <c r="AK67" s="22">
        <f t="shared" si="12"/>
        <v>17.794704527001414</v>
      </c>
      <c r="AL67" s="30"/>
      <c r="AM67" s="20"/>
      <c r="AN67" s="20"/>
      <c r="AO67" s="20"/>
      <c r="AP67" s="20"/>
      <c r="AQ67" s="20"/>
      <c r="AR67" s="20"/>
      <c r="AS67" s="20"/>
      <c r="AT67" s="21">
        <f>AA67*AD67%</f>
        <v>17.794704527001414</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f t="shared" ref="AA68:AA70" si="16">SUM(A68:Z68)</f>
        <v>0</v>
      </c>
      <c r="AB68" s="676" t="s">
        <v>640</v>
      </c>
      <c r="AC68" s="170"/>
      <c r="AD68" s="174">
        <v>26.1</v>
      </c>
      <c r="AE68" s="174"/>
      <c r="AF68" s="21"/>
      <c r="AG68" s="19"/>
      <c r="AH68" s="21"/>
      <c r="AI68" s="19"/>
      <c r="AJ68" s="21"/>
      <c r="AK68" s="22">
        <f t="shared" si="12"/>
        <v>0</v>
      </c>
      <c r="AL68" s="30"/>
      <c r="AM68" s="20"/>
      <c r="AN68" s="20"/>
      <c r="AO68" s="20"/>
      <c r="AP68" s="20"/>
      <c r="AQ68" s="20"/>
      <c r="AR68" s="20"/>
      <c r="AS68" s="20"/>
      <c r="AT68" s="21">
        <f>AA68*AD68%</f>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f t="shared" si="16"/>
        <v>0</v>
      </c>
      <c r="AB69" s="676" t="s">
        <v>641</v>
      </c>
      <c r="AC69" s="170"/>
      <c r="AD69" s="174">
        <v>36.4</v>
      </c>
      <c r="AE69" s="174"/>
      <c r="AF69" s="21"/>
      <c r="AG69" s="19"/>
      <c r="AH69" s="21"/>
      <c r="AI69" s="19"/>
      <c r="AJ69" s="21"/>
      <c r="AK69" s="22">
        <f t="shared" si="12"/>
        <v>0</v>
      </c>
      <c r="AL69" s="30"/>
      <c r="AM69" s="20"/>
      <c r="AN69" s="20"/>
      <c r="AO69" s="20"/>
      <c r="AP69" s="20"/>
      <c r="AQ69" s="20"/>
      <c r="AR69" s="20"/>
      <c r="AS69" s="20"/>
      <c r="AT69" s="21">
        <f t="shared" ref="AT69" si="17">AA69*AD69%</f>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f t="shared" si="16"/>
        <v>0</v>
      </c>
      <c r="AB70" s="131" t="s">
        <v>651</v>
      </c>
      <c r="AC70" s="170">
        <v>67.7</v>
      </c>
      <c r="AD70" s="174"/>
      <c r="AE70" s="174"/>
      <c r="AF70" s="21"/>
      <c r="AG70" s="19">
        <f t="shared" ref="AG70" si="18">-AH70/$D$2%</f>
        <v>0</v>
      </c>
      <c r="AH70" s="153"/>
      <c r="AI70" s="19"/>
      <c r="AJ70" s="21"/>
      <c r="AK70" s="22">
        <f t="shared" ref="AK70:AK79" si="19">SUM(AL70:AT70)</f>
        <v>0</v>
      </c>
      <c r="AL70" s="30"/>
      <c r="AM70" s="20"/>
      <c r="AN70" s="20"/>
      <c r="AO70" s="20"/>
      <c r="AP70" s="20"/>
      <c r="AQ70" s="20"/>
      <c r="AR70" s="20"/>
      <c r="AS70" s="20"/>
      <c r="AT70" s="21">
        <f>AH70*AC70%</f>
        <v>0</v>
      </c>
    </row>
    <row r="71" spans="1:46" ht="15" customHeight="1" x14ac:dyDescent="0.2">
      <c r="A71" s="19"/>
      <c r="B71" s="20"/>
      <c r="C71" s="20"/>
      <c r="D71" s="20"/>
      <c r="E71" s="20"/>
      <c r="F71" s="153">
        <f>AA71-S71</f>
        <v>372.12873811361248</v>
      </c>
      <c r="G71" s="172"/>
      <c r="H71" s="172"/>
      <c r="I71" s="172"/>
      <c r="J71" s="172"/>
      <c r="K71" s="172"/>
      <c r="L71" s="172"/>
      <c r="M71" s="172"/>
      <c r="N71" s="172"/>
      <c r="O71" s="172"/>
      <c r="P71" s="172"/>
      <c r="Q71" s="172"/>
      <c r="R71" s="172"/>
      <c r="S71" s="153">
        <f>AA71*7%</f>
        <v>28.00968996554073</v>
      </c>
      <c r="T71" s="174"/>
      <c r="U71" s="20"/>
      <c r="V71" s="20"/>
      <c r="W71" s="20"/>
      <c r="X71" s="20"/>
      <c r="Y71" s="20"/>
      <c r="Z71" s="20"/>
      <c r="AA71" s="697">
        <v>400.13842807915324</v>
      </c>
      <c r="AB71" s="131" t="s">
        <v>207</v>
      </c>
      <c r="AC71" s="170"/>
      <c r="AD71" s="174">
        <v>36.5</v>
      </c>
      <c r="AE71" s="174"/>
      <c r="AF71" s="21"/>
      <c r="AG71" s="19"/>
      <c r="AH71" s="169"/>
      <c r="AI71" s="19"/>
      <c r="AJ71" s="21"/>
      <c r="AK71" s="22">
        <f t="shared" si="19"/>
        <v>146.05052624889092</v>
      </c>
      <c r="AL71" s="30"/>
      <c r="AM71" s="20"/>
      <c r="AN71" s="20"/>
      <c r="AO71" s="20"/>
      <c r="AP71" s="20"/>
      <c r="AQ71" s="20"/>
      <c r="AR71" s="20"/>
      <c r="AS71" s="20"/>
      <c r="AT71" s="21">
        <f>AA71*AD71%</f>
        <v>146.05052624889092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f t="shared" ref="AA72:AA74" si="20">SUM(A72:Z72)</f>
        <v>0</v>
      </c>
      <c r="AB72" s="676" t="s">
        <v>642</v>
      </c>
      <c r="AC72" s="170"/>
      <c r="AD72" s="174">
        <v>32.200000000000003</v>
      </c>
      <c r="AE72" s="174"/>
      <c r="AF72" s="21"/>
      <c r="AG72" s="19"/>
      <c r="AH72" s="169"/>
      <c r="AI72" s="19"/>
      <c r="AJ72" s="21"/>
      <c r="AK72" s="22">
        <f t="shared" si="19"/>
        <v>0</v>
      </c>
      <c r="AL72" s="30"/>
      <c r="AM72" s="20"/>
      <c r="AN72" s="20"/>
      <c r="AO72" s="20"/>
      <c r="AP72" s="20"/>
      <c r="AQ72" s="20"/>
      <c r="AR72" s="20"/>
      <c r="AS72" s="20"/>
      <c r="AT72" s="21">
        <f>AA72*AD72%</f>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f t="shared" si="20"/>
        <v>0</v>
      </c>
      <c r="AB73" s="676" t="s">
        <v>643</v>
      </c>
      <c r="AC73" s="170"/>
      <c r="AD73" s="174">
        <v>36.4</v>
      </c>
      <c r="AE73" s="174"/>
      <c r="AF73" s="21"/>
      <c r="AG73" s="19"/>
      <c r="AH73" s="169"/>
      <c r="AI73" s="19"/>
      <c r="AJ73" s="21"/>
      <c r="AK73" s="22">
        <f t="shared" si="19"/>
        <v>0</v>
      </c>
      <c r="AL73" s="30"/>
      <c r="AM73" s="20"/>
      <c r="AN73" s="20"/>
      <c r="AO73" s="20"/>
      <c r="AP73" s="20"/>
      <c r="AQ73" s="20"/>
      <c r="AR73" s="20"/>
      <c r="AS73" s="20"/>
      <c r="AT73" s="21">
        <f t="shared" ref="AT73" si="21">AA73*AD73%</f>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f t="shared" si="20"/>
        <v>0</v>
      </c>
      <c r="AB74" s="131" t="s">
        <v>652</v>
      </c>
      <c r="AC74" s="170">
        <f>AC70</f>
        <v>67.7</v>
      </c>
      <c r="AD74" s="174"/>
      <c r="AE74" s="174"/>
      <c r="AF74" s="21"/>
      <c r="AG74" s="19">
        <f t="shared" ref="AG74" si="22">-AH74/$D$2%</f>
        <v>0</v>
      </c>
      <c r="AH74" s="153"/>
      <c r="AI74" s="19"/>
      <c r="AJ74" s="21"/>
      <c r="AK74" s="22">
        <f t="shared" si="19"/>
        <v>0</v>
      </c>
      <c r="AL74" s="30"/>
      <c r="AM74" s="20"/>
      <c r="AN74" s="20"/>
      <c r="AO74" s="20"/>
      <c r="AP74" s="20"/>
      <c r="AQ74" s="20"/>
      <c r="AR74" s="20"/>
      <c r="AS74" s="20"/>
      <c r="AT74" s="21">
        <f>AH74*AC74%</f>
        <v>0</v>
      </c>
    </row>
    <row r="75" spans="1:46" ht="15" customHeight="1" x14ac:dyDescent="0.2">
      <c r="A75" s="19"/>
      <c r="B75" s="20"/>
      <c r="C75" s="20"/>
      <c r="D75" s="20"/>
      <c r="E75" s="20"/>
      <c r="F75" s="153">
        <v>251.2666407974576</v>
      </c>
      <c r="G75" s="2"/>
      <c r="H75" s="2"/>
      <c r="I75" s="2"/>
      <c r="J75" s="2"/>
      <c r="K75" s="2"/>
      <c r="L75" s="2"/>
      <c r="M75" s="2"/>
      <c r="N75" s="2"/>
      <c r="O75" s="2"/>
      <c r="P75" s="2"/>
      <c r="Q75" s="2"/>
      <c r="R75" s="2"/>
      <c r="S75" s="153"/>
      <c r="T75" s="20"/>
      <c r="U75" s="20"/>
      <c r="V75" s="20"/>
      <c r="W75" s="20"/>
      <c r="X75" s="20"/>
      <c r="Y75" s="20"/>
      <c r="Z75" s="20"/>
      <c r="AA75" s="29">
        <f t="shared" si="0"/>
        <v>251.2666407974576</v>
      </c>
      <c r="AB75" s="131" t="s">
        <v>208</v>
      </c>
      <c r="AC75" s="170"/>
      <c r="AD75" s="174">
        <v>36.5</v>
      </c>
      <c r="AE75" s="174"/>
      <c r="AF75" s="21"/>
      <c r="AG75" s="19"/>
      <c r="AH75" s="21"/>
      <c r="AI75" s="19"/>
      <c r="AJ75" s="21"/>
      <c r="AK75" s="22">
        <f t="shared" si="19"/>
        <v>91.712323891072018</v>
      </c>
      <c r="AL75" s="30"/>
      <c r="AM75" s="20"/>
      <c r="AN75" s="20"/>
      <c r="AO75" s="20"/>
      <c r="AP75" s="20"/>
      <c r="AQ75" s="20"/>
      <c r="AR75" s="20"/>
      <c r="AS75" s="20">
        <f>AA75*AD75%</f>
        <v>91.712323891072018</v>
      </c>
      <c r="AT75" s="21"/>
    </row>
    <row r="76" spans="1:46" ht="15" customHeight="1" x14ac:dyDescent="0.2">
      <c r="A76" s="19"/>
      <c r="B76" s="20"/>
      <c r="C76" s="20"/>
      <c r="D76" s="20"/>
      <c r="E76" s="20"/>
      <c r="F76" s="153">
        <f>AA76-S76</f>
        <v>0</v>
      </c>
      <c r="G76" s="2"/>
      <c r="H76" s="2"/>
      <c r="I76" s="2"/>
      <c r="J76" s="2"/>
      <c r="K76" s="2"/>
      <c r="L76" s="2"/>
      <c r="M76" s="2"/>
      <c r="N76" s="2"/>
      <c r="O76" s="2"/>
      <c r="P76" s="2"/>
      <c r="Q76" s="2"/>
      <c r="R76" s="2"/>
      <c r="S76" s="153">
        <f>AA76*5.693%</f>
        <v>0</v>
      </c>
      <c r="T76" s="20"/>
      <c r="U76" s="20"/>
      <c r="V76" s="20"/>
      <c r="W76" s="20"/>
      <c r="X76" s="20"/>
      <c r="Y76" s="20"/>
      <c r="Z76" s="20"/>
      <c r="AA76" s="25"/>
      <c r="AB76" s="676" t="s">
        <v>671</v>
      </c>
      <c r="AC76" s="170"/>
      <c r="AD76" s="174">
        <v>12</v>
      </c>
      <c r="AE76" s="174"/>
      <c r="AF76" s="21"/>
      <c r="AG76" s="19"/>
      <c r="AH76" s="21"/>
      <c r="AI76" s="19"/>
      <c r="AJ76" s="21"/>
      <c r="AK76" s="22">
        <f t="shared" si="19"/>
        <v>0</v>
      </c>
      <c r="AL76" s="30"/>
      <c r="AM76" s="20"/>
      <c r="AN76" s="20"/>
      <c r="AO76" s="20"/>
      <c r="AP76" s="20"/>
      <c r="AQ76" s="20"/>
      <c r="AR76" s="20"/>
      <c r="AS76" s="20"/>
      <c r="AT76" s="21">
        <f>AA76*AD76%</f>
        <v>0</v>
      </c>
    </row>
    <row r="77" spans="1:46" ht="15" customHeight="1" x14ac:dyDescent="0.2">
      <c r="A77" s="19"/>
      <c r="B77" s="20"/>
      <c r="C77" s="20"/>
      <c r="D77" s="20"/>
      <c r="E77" s="20"/>
      <c r="F77" s="153">
        <f>AA77-S77</f>
        <v>26.688881000000002</v>
      </c>
      <c r="G77" s="172"/>
      <c r="H77" s="172"/>
      <c r="I77" s="172"/>
      <c r="J77" s="2"/>
      <c r="K77" s="2"/>
      <c r="L77" s="2"/>
      <c r="M77" s="172"/>
      <c r="N77" s="172"/>
      <c r="O77" s="172"/>
      <c r="P77" s="172"/>
      <c r="Q77" s="172"/>
      <c r="R77" s="172"/>
      <c r="S77" s="153">
        <f>AA77*5.693%</f>
        <v>1.611119</v>
      </c>
      <c r="T77" s="20"/>
      <c r="U77" s="20"/>
      <c r="V77" s="20"/>
      <c r="W77" s="20"/>
      <c r="X77" s="20"/>
      <c r="Y77" s="20"/>
      <c r="Z77" s="20"/>
      <c r="AA77" s="25">
        <v>28.3</v>
      </c>
      <c r="AB77" s="676" t="s">
        <v>672</v>
      </c>
      <c r="AC77" s="170"/>
      <c r="AD77" s="174">
        <v>25</v>
      </c>
      <c r="AE77" s="174"/>
      <c r="AF77" s="21"/>
      <c r="AG77" s="19"/>
      <c r="AH77" s="21"/>
      <c r="AI77" s="19"/>
      <c r="AJ77" s="21"/>
      <c r="AK77" s="22">
        <f t="shared" si="19"/>
        <v>7.0750000000000002</v>
      </c>
      <c r="AL77" s="30"/>
      <c r="AM77" s="20"/>
      <c r="AN77" s="20"/>
      <c r="AO77" s="20"/>
      <c r="AP77" s="20"/>
      <c r="AQ77" s="20"/>
      <c r="AR77" s="20"/>
      <c r="AS77" s="20"/>
      <c r="AT77" s="21">
        <f>AA77*AD77%</f>
        <v>7.0750000000000002</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f>SUM(A78:Z78)</f>
        <v>0</v>
      </c>
      <c r="AB78" s="676" t="s">
        <v>673</v>
      </c>
      <c r="AC78" s="687">
        <v>67</v>
      </c>
      <c r="AD78" s="174"/>
      <c r="AE78" s="184"/>
      <c r="AF78" s="41"/>
      <c r="AG78" s="19">
        <f t="shared" ref="AG78" si="23">-AH78/$D$2%</f>
        <v>0</v>
      </c>
      <c r="AH78" s="701">
        <v>0</v>
      </c>
      <c r="AI78" s="38"/>
      <c r="AJ78" s="41"/>
      <c r="AK78" s="22">
        <f t="shared" si="19"/>
        <v>0</v>
      </c>
      <c r="AL78" s="42"/>
      <c r="AM78" s="39"/>
      <c r="AN78" s="39"/>
      <c r="AO78" s="39"/>
      <c r="AP78" s="39"/>
      <c r="AQ78" s="39"/>
      <c r="AR78" s="39"/>
      <c r="AS78" s="39"/>
      <c r="AT78" s="21">
        <f>AC78*AH78%</f>
        <v>0</v>
      </c>
    </row>
    <row r="79" spans="1:46" ht="15" customHeight="1" x14ac:dyDescent="0.2">
      <c r="A79" s="38"/>
      <c r="B79" s="39"/>
      <c r="C79" s="39"/>
      <c r="D79" s="184"/>
      <c r="E79" s="184"/>
      <c r="F79" s="184"/>
      <c r="G79" s="154">
        <v>314.7</v>
      </c>
      <c r="H79" s="153">
        <v>0.6</v>
      </c>
      <c r="I79" s="184"/>
      <c r="J79" s="40"/>
      <c r="K79" s="40"/>
      <c r="L79" s="40"/>
      <c r="M79" s="184"/>
      <c r="N79" s="39"/>
      <c r="O79" s="39"/>
      <c r="P79" s="39"/>
      <c r="Q79" s="39"/>
      <c r="R79" s="39"/>
      <c r="S79" s="39"/>
      <c r="T79" s="39"/>
      <c r="U79" s="39"/>
      <c r="V79" s="39"/>
      <c r="W79" s="39"/>
      <c r="X79" s="39"/>
      <c r="Y79" s="39"/>
      <c r="Z79" s="39"/>
      <c r="AA79" s="21">
        <f>SUM(A79:Z79)</f>
        <v>315.3</v>
      </c>
      <c r="AB79" s="131" t="s">
        <v>9</v>
      </c>
      <c r="AC79" s="687"/>
      <c r="AD79" s="174">
        <v>13.5</v>
      </c>
      <c r="AE79" s="184"/>
      <c r="AF79" s="41"/>
      <c r="AG79" s="38"/>
      <c r="AH79" s="41"/>
      <c r="AI79" s="38"/>
      <c r="AJ79" s="41"/>
      <c r="AK79" s="22">
        <f t="shared" si="19"/>
        <v>42.5655</v>
      </c>
      <c r="AL79" s="42"/>
      <c r="AM79" s="39"/>
      <c r="AN79" s="39"/>
      <c r="AO79" s="39"/>
      <c r="AP79" s="39"/>
      <c r="AQ79" s="39"/>
      <c r="AR79" s="39"/>
      <c r="AS79" s="39"/>
      <c r="AT79" s="21">
        <f>AD79*AA79%</f>
        <v>42.5655</v>
      </c>
    </row>
    <row r="80" spans="1:46" ht="15" customHeight="1" thickBot="1" x14ac:dyDescent="0.25">
      <c r="A80" s="38"/>
      <c r="B80" s="39"/>
      <c r="C80" s="39"/>
      <c r="D80" s="154">
        <v>6.5</v>
      </c>
      <c r="E80" s="184"/>
      <c r="F80" s="154">
        <v>46.6</v>
      </c>
      <c r="G80" s="184"/>
      <c r="H80" s="184"/>
      <c r="I80" s="184"/>
      <c r="J80" s="40"/>
      <c r="K80" s="40"/>
      <c r="L80" s="40"/>
      <c r="M80" s="184"/>
      <c r="N80" s="39"/>
      <c r="O80" s="39"/>
      <c r="P80" s="39"/>
      <c r="Q80" s="39"/>
      <c r="R80" s="39"/>
      <c r="S80" s="39"/>
      <c r="T80" s="39"/>
      <c r="U80" s="39"/>
      <c r="V80" s="39"/>
      <c r="W80" s="39"/>
      <c r="X80" s="39"/>
      <c r="Y80" s="39"/>
      <c r="Z80" s="39"/>
      <c r="AA80" s="41">
        <f t="shared" si="0"/>
        <v>53.1</v>
      </c>
      <c r="AB80" s="132" t="s">
        <v>5</v>
      </c>
      <c r="AC80" s="688"/>
      <c r="AD80" s="174">
        <v>20</v>
      </c>
      <c r="AE80" s="689"/>
      <c r="AF80" s="45"/>
      <c r="AG80" s="43"/>
      <c r="AH80" s="45"/>
      <c r="AI80" s="43"/>
      <c r="AJ80" s="45"/>
      <c r="AK80" s="46">
        <f t="shared" si="12"/>
        <v>10.620000000000001</v>
      </c>
      <c r="AL80" s="47"/>
      <c r="AM80" s="44"/>
      <c r="AN80" s="44"/>
      <c r="AO80" s="44"/>
      <c r="AP80" s="44"/>
      <c r="AQ80" s="44"/>
      <c r="AR80" s="44"/>
      <c r="AS80" s="44"/>
      <c r="AT80" s="21">
        <f>AA80*AD80%</f>
        <v>10.620000000000001</v>
      </c>
    </row>
    <row r="81" spans="1:47" ht="15" customHeight="1" thickBot="1" x14ac:dyDescent="0.25">
      <c r="A81" s="48">
        <f t="shared" ref="A81:AA81" si="24">SUM(A8:A80)</f>
        <v>151.2096149298329</v>
      </c>
      <c r="B81" s="49">
        <f t="shared" si="24"/>
        <v>19.100000000000001</v>
      </c>
      <c r="C81" s="49">
        <f t="shared" si="24"/>
        <v>0</v>
      </c>
      <c r="D81" s="49">
        <f t="shared" si="24"/>
        <v>140.19999999999999</v>
      </c>
      <c r="E81" s="49">
        <f t="shared" si="24"/>
        <v>292.10000000000002</v>
      </c>
      <c r="F81" s="49">
        <f t="shared" si="24"/>
        <v>1377.2649357677969</v>
      </c>
      <c r="G81" s="49">
        <f t="shared" si="24"/>
        <v>314.7</v>
      </c>
      <c r="H81" s="49">
        <f t="shared" si="24"/>
        <v>491.16990441451185</v>
      </c>
      <c r="I81" s="49">
        <f t="shared" si="24"/>
        <v>1176.4000000000001</v>
      </c>
      <c r="J81" s="49">
        <f t="shared" si="24"/>
        <v>0</v>
      </c>
      <c r="K81" s="49">
        <f t="shared" si="24"/>
        <v>0</v>
      </c>
      <c r="L81" s="49">
        <f t="shared" si="24"/>
        <v>0</v>
      </c>
      <c r="M81" s="49">
        <f t="shared" si="24"/>
        <v>729.6</v>
      </c>
      <c r="N81" s="49">
        <f t="shared" si="24"/>
        <v>0</v>
      </c>
      <c r="O81" s="49">
        <f t="shared" si="24"/>
        <v>47.9</v>
      </c>
      <c r="P81" s="49">
        <f t="shared" si="24"/>
        <v>0</v>
      </c>
      <c r="Q81" s="49">
        <f t="shared" si="24"/>
        <v>5.1666666666666661</v>
      </c>
      <c r="R81" s="49">
        <f t="shared" si="24"/>
        <v>20.102000000000004</v>
      </c>
      <c r="S81" s="49">
        <f t="shared" si="24"/>
        <v>195.56449837217417</v>
      </c>
      <c r="T81" s="49">
        <f t="shared" si="24"/>
        <v>96</v>
      </c>
      <c r="U81" s="49">
        <f t="shared" si="24"/>
        <v>925.5</v>
      </c>
      <c r="V81" s="49">
        <f t="shared" si="24"/>
        <v>1122.9000000000001</v>
      </c>
      <c r="W81" s="49">
        <f t="shared" si="24"/>
        <v>23.598000000000003</v>
      </c>
      <c r="X81" s="49">
        <f t="shared" si="24"/>
        <v>0</v>
      </c>
      <c r="Y81" s="49">
        <f t="shared" si="24"/>
        <v>2.6</v>
      </c>
      <c r="Z81" s="49">
        <f t="shared" si="24"/>
        <v>0</v>
      </c>
      <c r="AA81" s="50">
        <f t="shared" si="24"/>
        <v>7131.075620150983</v>
      </c>
      <c r="AB81" s="51" t="s">
        <v>1</v>
      </c>
      <c r="AC81" s="52"/>
      <c r="AD81" s="52"/>
      <c r="AE81" s="52"/>
      <c r="AF81" s="52"/>
      <c r="AG81" s="48">
        <f t="shared" ref="AG81:AT81" si="25">SUM(AG8:AG80)</f>
        <v>-1.4947071358406561E-13</v>
      </c>
      <c r="AH81" s="50">
        <f t="shared" si="25"/>
        <v>992.60484053665857</v>
      </c>
      <c r="AI81" s="48">
        <f t="shared" si="25"/>
        <v>0</v>
      </c>
      <c r="AJ81" s="50">
        <f t="shared" si="25"/>
        <v>720.62538500000005</v>
      </c>
      <c r="AK81" s="51">
        <f t="shared" si="25"/>
        <v>4233.240301407367</v>
      </c>
      <c r="AL81" s="53">
        <f t="shared" si="25"/>
        <v>2087.504989592891</v>
      </c>
      <c r="AM81" s="49">
        <f t="shared" si="25"/>
        <v>173.66750221762896</v>
      </c>
      <c r="AN81" s="49">
        <f t="shared" si="25"/>
        <v>141.64106444220002</v>
      </c>
      <c r="AO81" s="49">
        <f t="shared" si="25"/>
        <v>162.06013738642511</v>
      </c>
      <c r="AP81" s="49">
        <f t="shared" si="25"/>
        <v>12.707316702</v>
      </c>
      <c r="AQ81" s="49">
        <f t="shared" si="25"/>
        <v>928.33072099398601</v>
      </c>
      <c r="AR81" s="49">
        <f t="shared" si="25"/>
        <v>16.018195974599998</v>
      </c>
      <c r="AS81" s="49">
        <f t="shared" si="25"/>
        <v>223.21349401286994</v>
      </c>
      <c r="AT81" s="50">
        <f t="shared" si="25"/>
        <v>488.09688008476598</v>
      </c>
    </row>
    <row r="82" spans="1:47" ht="15" customHeight="1" x14ac:dyDescent="0.25">
      <c r="A82" s="26">
        <f t="shared" ref="A82:Y82" si="26">A81*A89/1000</f>
        <v>24.193538388773263</v>
      </c>
      <c r="B82" s="28">
        <f t="shared" si="26"/>
        <v>1.2376800000000001</v>
      </c>
      <c r="C82" s="28">
        <f t="shared" si="26"/>
        <v>0</v>
      </c>
      <c r="D82" s="28">
        <f t="shared" si="26"/>
        <v>11.080005999999999</v>
      </c>
      <c r="E82" s="28">
        <f t="shared" si="26"/>
        <v>21.64461</v>
      </c>
      <c r="F82" s="28">
        <f t="shared" si="26"/>
        <v>102.05533174039374</v>
      </c>
      <c r="G82" s="28">
        <f t="shared" si="26"/>
        <v>22.658399999999997</v>
      </c>
      <c r="H82" s="28">
        <f t="shared" si="26"/>
        <v>35.855403022259367</v>
      </c>
      <c r="I82" s="28">
        <f t="shared" si="26"/>
        <v>66.807756000000012</v>
      </c>
      <c r="J82" s="27"/>
      <c r="K82" s="27"/>
      <c r="L82" s="27"/>
      <c r="M82" s="28">
        <f t="shared" si="26"/>
        <v>0</v>
      </c>
      <c r="N82" s="28">
        <f t="shared" si="26"/>
        <v>0</v>
      </c>
      <c r="O82" s="28">
        <f t="shared" si="26"/>
        <v>0</v>
      </c>
      <c r="P82" s="28">
        <f t="shared" si="26"/>
        <v>0</v>
      </c>
      <c r="Q82" s="28">
        <v>0</v>
      </c>
      <c r="R82" s="28">
        <f t="shared" si="26"/>
        <v>0</v>
      </c>
      <c r="S82" s="28">
        <f t="shared" si="26"/>
        <v>0</v>
      </c>
      <c r="T82" s="28">
        <f t="shared" si="26"/>
        <v>0</v>
      </c>
      <c r="U82" s="28">
        <f t="shared" si="26"/>
        <v>0</v>
      </c>
      <c r="V82" s="28">
        <f t="shared" si="26"/>
        <v>0</v>
      </c>
      <c r="W82" s="28">
        <f t="shared" si="26"/>
        <v>0</v>
      </c>
      <c r="X82" s="28">
        <f t="shared" si="26"/>
        <v>0</v>
      </c>
      <c r="Y82" s="28">
        <f t="shared" si="26"/>
        <v>0</v>
      </c>
      <c r="Z82" s="28">
        <f>Z81*Z89/1000</f>
        <v>0</v>
      </c>
      <c r="AA82" s="29">
        <f>SUM(A82:Z82)</f>
        <v>285.53272515142635</v>
      </c>
      <c r="AB82" s="54" t="s">
        <v>30</v>
      </c>
      <c r="AC82" s="55">
        <f>AA82*1000/D1</f>
        <v>6.0377815049676755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441</v>
      </c>
      <c r="S83" s="153">
        <v>766</v>
      </c>
      <c r="T83" s="153">
        <v>475</v>
      </c>
      <c r="U83" s="153">
        <v>364.37178342551363</v>
      </c>
      <c r="V83" s="20"/>
      <c r="W83" s="20"/>
      <c r="X83" s="20"/>
      <c r="Y83" s="20"/>
      <c r="Z83" s="20"/>
      <c r="AA83" s="21">
        <f>SUM(A83:Z83)</f>
        <v>2046.3717834255135</v>
      </c>
      <c r="AB83" s="22" t="s">
        <v>653</v>
      </c>
      <c r="AC83" s="677">
        <f>(SUM(M11:Y11)+AG12*A87%+SUM(M16:Y16)+SUM(M17:Y17)+SUM(M18:Y18)+SUM(M19:Y19)+SUM(M22:Y22)+SUM(M61:Y61)+SUM(M62:Y62)+SUM(M63:Y63)+SUM(M65:Y65)+SUM(M66:Y66)+SUM(M67:Y67)+SUM(M68:Y68)+SUM(M69:Y69)+SUM(M71:Y71)+SUM(M72:Y72)+SUM(M73:Y73)+SUM(M75:Y75)+SUM(M76:Y76)+SUM(M77:Y77)+SUM(M79:Y79)+SUM(M80:Y80)+SUM(M23:Y23)*(AC23%+AE23%)+SUM(M24:Y24)*(AC24%+AE24%)+SUM(M25:Y25)*(AC25%+AE25%)+SUM(M26:Y26)*(AC26%+AE26%)+SUM(M28:Y28)*(AC28%+AD28%+AE28%)+SUM(M27:Y27)*(AD27%)+SUM(M29:Y29)*(AC29%+AE29%)+SUM(M30:Y30)*(AC30%+AE30%)+SUM(M31:Y31)*(AC31%+AE31%)+SUM(M34:Y34)*(AC34%+AE34%)+SUM(M35:Y35)*(AC35%+AE35%)+SUM(M37:Y37)*(AC37%+AE37%)+SUM(M38:Y38)*(AC38%+AE38%)+SUM(M39:Y39)*(AC39%+AE39%)+SUM(M41:Y41)*(AC41%+AE41%)+SUM(M42:Y42)*(AC42%+AE42%)+SUM(M44:Y44)*(AC44%+AE44%)+SUM(M45:Y45)*(AC45%+AE45%)+SUM(M46:Y46)*(AC47%+AE47%)+SUM(M48:Y48)*(AC48%+AE48%)+SUM(M49:Y49)*(AC49%+AE49%)+SUM(M50:Y50)*(AC50%+AE50%)+SUM(M52:Y52)*(AC52%+AE52%)+SUM(M53:Y53)*(AC53%+AE53%)+SUM(M54:Y54)*(AC54%+AE54%))/(SUM(AA8:AA11)+SUM(AA13:AA22)+SUM(AA61:AA80)+(AJ33/AF33%+AJ36/AF36%+AJ43/AF43%+AJ51/AF51%+AJ60/AF60%)+AH81+SUM(AH8:AH11)*(1-D2%)+(-AI56))*100</f>
        <v>44.438970793623284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tr">
        <f>IF(M83&gt;0,M81/M83*100,"")</f>
        <v/>
      </c>
      <c r="N84" s="44" t="str">
        <f t="shared" ref="N84:Z84" si="27">IF(N83&gt;0,N81/N83*100,"")</f>
        <v/>
      </c>
      <c r="O84" s="44" t="str">
        <f t="shared" si="27"/>
        <v/>
      </c>
      <c r="P84" s="44" t="str">
        <f t="shared" si="27"/>
        <v/>
      </c>
      <c r="Q84" s="44" t="str">
        <f t="shared" si="27"/>
        <v/>
      </c>
      <c r="R84" s="44">
        <f t="shared" si="27"/>
        <v>4.558276643990931</v>
      </c>
      <c r="S84" s="44">
        <f t="shared" si="27"/>
        <v>25.530613364513599</v>
      </c>
      <c r="T84" s="44">
        <f t="shared" si="27"/>
        <v>20.210526315789473</v>
      </c>
      <c r="U84" s="44">
        <f t="shared" si="27"/>
        <v>253.99881168054125</v>
      </c>
      <c r="V84" s="44" t="str">
        <f t="shared" si="27"/>
        <v/>
      </c>
      <c r="W84" s="44" t="str">
        <f t="shared" si="27"/>
        <v/>
      </c>
      <c r="X84" s="44" t="str">
        <f t="shared" si="27"/>
        <v/>
      </c>
      <c r="Y84" s="44" t="str">
        <f>IF(Y83&gt;0,Y81/Y83*100,"")</f>
        <v/>
      </c>
      <c r="Z84" s="44" t="str">
        <f t="shared" si="27"/>
        <v/>
      </c>
      <c r="AA84" s="45">
        <f>SUMIF(M83:Z83,"&gt;0",M81:Z81)/SUM(M83:Z83)%</f>
        <v>60.456585083538712</v>
      </c>
      <c r="AB84" s="46" t="s">
        <v>12</v>
      </c>
      <c r="AC84" s="151">
        <f>SUM(M81:Y81)/AA81*100</f>
        <v>44.438333483438036</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tr">
        <f t="shared" ref="B86:I86" si="28">B7</f>
        <v xml:space="preserve">  LPG og petroleum</v>
      </c>
      <c r="C86" s="754" t="str">
        <f t="shared" si="28"/>
        <v xml:space="preserve">  Kul</v>
      </c>
      <c r="D86" s="754" t="str">
        <f t="shared" si="28"/>
        <v xml:space="preserve">  Fuelolie</v>
      </c>
      <c r="E86" s="754" t="str">
        <f t="shared" si="28"/>
        <v xml:space="preserve">  Brændselsolie</v>
      </c>
      <c r="F86" s="754" t="str">
        <f t="shared" si="28"/>
        <v xml:space="preserve">  Dieselolie</v>
      </c>
      <c r="G86" s="754" t="str">
        <f t="shared" si="28"/>
        <v xml:space="preserve">  JP1</v>
      </c>
      <c r="H86" s="754" t="str">
        <f t="shared" si="28"/>
        <v xml:space="preserve">  Benzin</v>
      </c>
      <c r="I86" s="754" t="str">
        <f t="shared" si="28"/>
        <v xml:space="preserve">  Naturgas</v>
      </c>
      <c r="J86" s="673"/>
      <c r="K86" s="673"/>
      <c r="L86" s="673"/>
      <c r="M86" s="754" t="str">
        <f t="shared" ref="M86:Z86" si="29">M7</f>
        <v xml:space="preserve">  Vindenergi</v>
      </c>
      <c r="N86" s="754" t="str">
        <f t="shared" si="29"/>
        <v xml:space="preserve">  Vandenergi</v>
      </c>
      <c r="O86" s="754" t="str">
        <f t="shared" si="29"/>
        <v xml:space="preserve">  Solenergi</v>
      </c>
      <c r="P86" s="754" t="str">
        <f t="shared" si="29"/>
        <v xml:space="preserve">  Geotermi</v>
      </c>
      <c r="Q86" s="754" t="str">
        <f t="shared" si="29"/>
        <v xml:space="preserve">  Varmekilder til varmepumper</v>
      </c>
      <c r="R86" s="754" t="str">
        <f t="shared" si="29"/>
        <v xml:space="preserve">  Husdyrsgødning</v>
      </c>
      <c r="S86" s="754" t="str">
        <f t="shared" si="29"/>
        <v xml:space="preserve">  Biobrændstof og energiafgrøder</v>
      </c>
      <c r="T86" s="754" t="str">
        <f t="shared" si="29"/>
        <v xml:space="preserve">  Halm</v>
      </c>
      <c r="U86" s="754" t="str">
        <f t="shared" si="29"/>
        <v xml:space="preserve">  Brænde og træflis</v>
      </c>
      <c r="V86" s="754" t="str">
        <f t="shared" si="29"/>
        <v xml:space="preserve">  Træpiller og træaffald</v>
      </c>
      <c r="W86" s="754" t="str">
        <f t="shared" si="29"/>
        <v xml:space="preserve">  Organisk affald, industri</v>
      </c>
      <c r="X86" s="754" t="str">
        <f t="shared" si="29"/>
        <v xml:space="preserve">  Organisk affald, husholdninger</v>
      </c>
      <c r="Y86" s="754" t="str">
        <f t="shared" si="29"/>
        <v xml:space="preserve">  Deponi, slam, renseanlæg</v>
      </c>
      <c r="Z86" s="757" t="str">
        <f t="shared" si="29"/>
        <v xml:space="preserve">  Affald, ikke bionedbrydeligt</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33</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160</v>
      </c>
      <c r="B89" s="186">
        <v>64.8</v>
      </c>
      <c r="C89" s="186">
        <v>94.2</v>
      </c>
      <c r="D89" s="186">
        <v>79.03</v>
      </c>
      <c r="E89" s="186">
        <v>74.099999999999994</v>
      </c>
      <c r="F89" s="186">
        <f>E89</f>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8">
    <tabColor theme="3" tint="0.59999389629810485"/>
    <pageSetUpPr fitToPage="1"/>
  </sheetPr>
  <dimension ref="A1:AY95"/>
  <sheetViews>
    <sheetView showGridLines="0" showZeros="0" zoomScale="85" zoomScaleNormal="85" workbookViewId="0">
      <selection activeCell="G4" sqref="G4"/>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47986</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92.08</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4"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f t="shared" ref="AA8:AA80" si="0">SUM(A8:Z8)</f>
        <v>0</v>
      </c>
      <c r="AB8" s="128" t="s">
        <v>183</v>
      </c>
      <c r="AC8" s="19"/>
      <c r="AD8" s="24">
        <v>85.609453652819667</v>
      </c>
      <c r="AE8" s="20"/>
      <c r="AF8" s="21"/>
      <c r="AG8" s="19">
        <f t="shared" ref="AG8:AG11" si="1">-AH8/$D$2%</f>
        <v>-1106.8794894481841</v>
      </c>
      <c r="AH8" s="25">
        <f>AK8/AD8%</f>
        <v>1019.2146338838879</v>
      </c>
      <c r="AI8" s="33"/>
      <c r="AJ8" s="25"/>
      <c r="AK8" s="158">
        <f t="shared" ref="AK8:AK11" si="2">SUM(AL8:AT8)</f>
        <v>872.54407961758272</v>
      </c>
      <c r="AL8" s="153">
        <v>224.33764640091471</v>
      </c>
      <c r="AM8" s="153">
        <v>102.58098572438813</v>
      </c>
      <c r="AN8" s="153">
        <v>50.033925999000004</v>
      </c>
      <c r="AO8" s="153">
        <v>115.16136699960001</v>
      </c>
      <c r="AP8" s="153">
        <v>10.176436990800003</v>
      </c>
      <c r="AQ8" s="153">
        <v>221.2821704376</v>
      </c>
      <c r="AR8" s="153">
        <v>5.3844783695999991</v>
      </c>
      <c r="AS8" s="153">
        <v>140.88706869567989</v>
      </c>
      <c r="AT8" s="8">
        <v>2.7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f t="shared" si="0"/>
        <v>0</v>
      </c>
      <c r="AB9" s="128" t="s">
        <v>2</v>
      </c>
      <c r="AC9" s="19"/>
      <c r="AD9" s="20"/>
      <c r="AE9" s="20">
        <v>90</v>
      </c>
      <c r="AF9" s="21"/>
      <c r="AG9" s="19">
        <f t="shared" si="1"/>
        <v>-6.1540689255719663</v>
      </c>
      <c r="AH9" s="25">
        <f>AK9/AE9%</f>
        <v>5.6666666666666661</v>
      </c>
      <c r="AI9" s="33"/>
      <c r="AJ9" s="25"/>
      <c r="AK9" s="158">
        <f t="shared" si="2"/>
        <v>5.0999999999999996</v>
      </c>
      <c r="AL9" s="157">
        <v>5.0999999999999996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f t="shared" si="0"/>
        <v>0</v>
      </c>
      <c r="AB10" s="128" t="s">
        <v>3</v>
      </c>
      <c r="AC10" s="19"/>
      <c r="AD10" s="20"/>
      <c r="AE10" s="20">
        <v>100</v>
      </c>
      <c r="AF10" s="21"/>
      <c r="AG10" s="19">
        <f t="shared" si="1"/>
        <v>-26.28149435273675</v>
      </c>
      <c r="AH10" s="25">
        <f>AK10/AE10%</f>
        <v>24.2</v>
      </c>
      <c r="AI10" s="33"/>
      <c r="AJ10" s="25"/>
      <c r="AK10" s="158">
        <f t="shared" si="2"/>
        <v>24.2</v>
      </c>
      <c r="AL10" s="157">
        <v>24.2</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f>AK11-AH11</f>
        <v>5.6666666666666661</v>
      </c>
      <c r="R11" s="20"/>
      <c r="S11" s="20"/>
      <c r="T11" s="20"/>
      <c r="U11" s="20"/>
      <c r="V11" s="20"/>
      <c r="W11" s="20"/>
      <c r="X11" s="20"/>
      <c r="Y11" s="20"/>
      <c r="Z11" s="20"/>
      <c r="AA11" s="21">
        <f t="shared" si="0"/>
        <v>5.6666666666666661</v>
      </c>
      <c r="AB11" s="128" t="s">
        <v>23</v>
      </c>
      <c r="AC11" s="19"/>
      <c r="AD11" s="20"/>
      <c r="AE11" s="20">
        <v>300</v>
      </c>
      <c r="AF11" s="21"/>
      <c r="AG11" s="19">
        <f t="shared" si="1"/>
        <v>-3.0770344627859836</v>
      </c>
      <c r="AH11" s="156">
        <f>AK11/AE11%</f>
        <v>2.8333333333333335</v>
      </c>
      <c r="AI11" s="33"/>
      <c r="AJ11" s="25"/>
      <c r="AK11" s="158">
        <f t="shared" si="2"/>
        <v>8.5</v>
      </c>
      <c r="AL11" s="699">
        <v>8.5</v>
      </c>
      <c r="AM11" s="24"/>
      <c r="AN11" s="24"/>
      <c r="AO11" s="24"/>
      <c r="AP11" s="24"/>
      <c r="AQ11" s="24"/>
      <c r="AR11" s="24"/>
      <c r="AS11" s="24"/>
      <c r="AT11" s="25"/>
    </row>
    <row r="12" spans="1:51" ht="15" customHeight="1" x14ac:dyDescent="0.2">
      <c r="A12" s="155">
        <f>AC12%*AG12</f>
        <v>279.74294406787817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f t="shared" si="0"/>
        <v>279.74294406787817</v>
      </c>
      <c r="AB12" s="128" t="s">
        <v>10</v>
      </c>
      <c r="AC12" s="19">
        <v>100</v>
      </c>
      <c r="AD12" s="20"/>
      <c r="AE12" s="20"/>
      <c r="AF12" s="21"/>
      <c r="AG12" s="19">
        <f>-SUM(AG13:AG80,AG8:AG11)</f>
        <v>279.74294406787817</v>
      </c>
      <c r="AH12" s="169"/>
      <c r="AI12" s="170"/>
      <c r="AJ12" s="169"/>
      <c r="AK12" s="171">
        <f t="shared" ref="AK12:AK43" si="3">SUM(AL12:AT12)</f>
        <v>0</v>
      </c>
      <c r="AL12" s="170"/>
      <c r="AM12" s="174"/>
      <c r="AN12" s="174"/>
      <c r="AO12" s="174"/>
      <c r="AP12" s="174"/>
      <c r="AQ12" s="174"/>
      <c r="AR12" s="174"/>
      <c r="AS12" s="174"/>
      <c r="AT12" s="169"/>
    </row>
    <row r="13" spans="1:51" ht="15" customHeight="1" x14ac:dyDescent="0.2">
      <c r="A13" s="176"/>
      <c r="B13" s="153">
        <v>20.399999999999999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f t="shared" si="0"/>
        <v>20.399999999999999</v>
      </c>
      <c r="AB13" s="178" t="s">
        <v>29</v>
      </c>
      <c r="AC13" s="26"/>
      <c r="AD13" s="28"/>
      <c r="AE13" s="177">
        <v>38</v>
      </c>
      <c r="AF13" s="29"/>
      <c r="AG13" s="26"/>
      <c r="AH13" s="29"/>
      <c r="AI13" s="26"/>
      <c r="AJ13" s="29"/>
      <c r="AK13" s="22">
        <f t="shared" si="3"/>
        <v>7.7519999999999989</v>
      </c>
      <c r="AL13" s="188">
        <f>AA13*AE13%*20%</f>
        <v>1.5504</v>
      </c>
      <c r="AM13" s="179"/>
      <c r="AN13" s="179"/>
      <c r="AO13" s="179"/>
      <c r="AP13" s="179"/>
      <c r="AQ13" s="179">
        <f>AA13*AE13%*60%</f>
        <v>4.6511999999999993</v>
      </c>
      <c r="AR13" s="179"/>
      <c r="AS13" s="179"/>
      <c r="AT13" s="189">
        <f>AA13*AE13%*20%</f>
        <v>1.5504</v>
      </c>
    </row>
    <row r="14" spans="1:51" ht="15" customHeight="1" x14ac:dyDescent="0.2">
      <c r="A14" s="19"/>
      <c r="B14" s="174"/>
      <c r="C14" s="20"/>
      <c r="D14" s="20"/>
      <c r="E14" s="153">
        <v>313</v>
      </c>
      <c r="F14" s="174"/>
      <c r="G14" s="174"/>
      <c r="H14" s="174"/>
      <c r="I14" s="174"/>
      <c r="J14" s="24"/>
      <c r="K14" s="24"/>
      <c r="L14" s="24"/>
      <c r="M14" s="20"/>
      <c r="N14" s="20"/>
      <c r="O14" s="20"/>
      <c r="P14" s="20"/>
      <c r="Q14" s="174"/>
      <c r="R14" s="174"/>
      <c r="S14" s="174"/>
      <c r="T14" s="174"/>
      <c r="U14" s="174"/>
      <c r="V14" s="174"/>
      <c r="W14" s="174"/>
      <c r="X14" s="174"/>
      <c r="Y14" s="174"/>
      <c r="Z14" s="174"/>
      <c r="AA14" s="21">
        <f t="shared" si="0"/>
        <v>313</v>
      </c>
      <c r="AB14" s="128" t="s">
        <v>215</v>
      </c>
      <c r="AC14" s="19"/>
      <c r="AD14" s="20"/>
      <c r="AE14" s="174">
        <v>80</v>
      </c>
      <c r="AF14" s="21"/>
      <c r="AG14" s="19"/>
      <c r="AH14" s="21"/>
      <c r="AI14" s="19"/>
      <c r="AJ14" s="21"/>
      <c r="AK14" s="22">
        <f t="shared" si="3"/>
        <v>250.4</v>
      </c>
      <c r="AL14" s="30">
        <f t="shared" ref="AL14:AL19" si="4">AA14*AE14%</f>
        <v>250.4</v>
      </c>
      <c r="AM14" s="20"/>
      <c r="AN14" s="20"/>
      <c r="AO14" s="20"/>
      <c r="AP14" s="20"/>
      <c r="AQ14" s="20"/>
      <c r="AR14" s="20"/>
      <c r="AS14" s="20"/>
      <c r="AT14" s="21"/>
      <c r="AY14" s="23"/>
    </row>
    <row r="15" spans="1:51" ht="15" customHeight="1" x14ac:dyDescent="0.2">
      <c r="A15" s="19"/>
      <c r="B15" s="174"/>
      <c r="C15" s="20"/>
      <c r="D15" s="20"/>
      <c r="E15" s="174"/>
      <c r="F15" s="174"/>
      <c r="G15" s="174"/>
      <c r="H15" s="174"/>
      <c r="I15" s="153">
        <v>313</v>
      </c>
      <c r="J15" s="153"/>
      <c r="K15" s="153"/>
      <c r="L15" s="153"/>
      <c r="M15" s="20"/>
      <c r="N15" s="20"/>
      <c r="O15" s="20"/>
      <c r="P15" s="20"/>
      <c r="Q15" s="174"/>
      <c r="R15" s="174"/>
      <c r="S15" s="174"/>
      <c r="T15" s="174"/>
      <c r="U15" s="174"/>
      <c r="V15" s="174"/>
      <c r="W15" s="174"/>
      <c r="X15" s="174"/>
      <c r="Y15" s="174"/>
      <c r="Z15" s="174"/>
      <c r="AA15" s="21">
        <f t="shared" si="0"/>
        <v>313</v>
      </c>
      <c r="AB15" s="128" t="s">
        <v>216</v>
      </c>
      <c r="AC15" s="19"/>
      <c r="AD15" s="20"/>
      <c r="AE15" s="174">
        <v>85</v>
      </c>
      <c r="AF15" s="21"/>
      <c r="AG15" s="19"/>
      <c r="AH15" s="21"/>
      <c r="AI15" s="19"/>
      <c r="AJ15" s="21"/>
      <c r="AK15" s="22">
        <f t="shared" si="3"/>
        <v>266.05</v>
      </c>
      <c r="AL15" s="30">
        <f t="shared" si="4"/>
        <v>266.05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315</v>
      </c>
      <c r="W16" s="174"/>
      <c r="X16" s="174"/>
      <c r="Y16" s="174"/>
      <c r="Z16" s="174"/>
      <c r="AA16" s="21">
        <f t="shared" si="0"/>
        <v>315</v>
      </c>
      <c r="AB16" s="128" t="s">
        <v>217</v>
      </c>
      <c r="AC16" s="19"/>
      <c r="AD16" s="20"/>
      <c r="AE16" s="174">
        <v>75</v>
      </c>
      <c r="AF16" s="21"/>
      <c r="AG16" s="19"/>
      <c r="AH16" s="21"/>
      <c r="AI16" s="19"/>
      <c r="AJ16" s="21"/>
      <c r="AK16" s="22">
        <f t="shared" si="3"/>
        <v>236.25</v>
      </c>
      <c r="AL16" s="30">
        <f t="shared" si="4"/>
        <v>236.25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706</v>
      </c>
      <c r="V17" s="2"/>
      <c r="W17" s="174"/>
      <c r="X17" s="174"/>
      <c r="Y17" s="174"/>
      <c r="Z17" s="174"/>
      <c r="AA17" s="21">
        <f t="shared" si="0"/>
        <v>706</v>
      </c>
      <c r="AB17" s="128" t="s">
        <v>218</v>
      </c>
      <c r="AC17" s="19"/>
      <c r="AD17" s="20"/>
      <c r="AE17" s="174">
        <v>65</v>
      </c>
      <c r="AF17" s="21"/>
      <c r="AG17" s="19"/>
      <c r="AH17" s="21"/>
      <c r="AI17" s="19"/>
      <c r="AJ17" s="21"/>
      <c r="AK17" s="22">
        <f t="shared" si="3"/>
        <v>458.90000000000003</v>
      </c>
      <c r="AL17" s="30">
        <f t="shared" si="4"/>
        <v>458.90000000000003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101</v>
      </c>
      <c r="U18" s="2"/>
      <c r="V18" s="2"/>
      <c r="W18" s="174"/>
      <c r="X18" s="174"/>
      <c r="Y18" s="174"/>
      <c r="Z18" s="174"/>
      <c r="AA18" s="21">
        <f t="shared" si="0"/>
        <v>101</v>
      </c>
      <c r="AB18" s="128" t="s">
        <v>219</v>
      </c>
      <c r="AC18" s="19"/>
      <c r="AD18" s="20"/>
      <c r="AE18" s="174">
        <v>65</v>
      </c>
      <c r="AF18" s="21"/>
      <c r="AG18" s="19"/>
      <c r="AH18" s="21"/>
      <c r="AI18" s="19"/>
      <c r="AJ18" s="21"/>
      <c r="AK18" s="22">
        <f t="shared" si="3"/>
        <v>65.650000000000006</v>
      </c>
      <c r="AL18" s="30">
        <f t="shared" si="4"/>
        <v>65.650000000000006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7.1</v>
      </c>
      <c r="P19" s="20"/>
      <c r="Q19" s="174"/>
      <c r="R19" s="174"/>
      <c r="S19" s="174"/>
      <c r="T19" s="174"/>
      <c r="U19" s="174"/>
      <c r="V19" s="174"/>
      <c r="W19" s="174"/>
      <c r="X19" s="174"/>
      <c r="Y19" s="174"/>
      <c r="Z19" s="174"/>
      <c r="AA19" s="21">
        <f t="shared" si="0"/>
        <v>7.1</v>
      </c>
      <c r="AB19" s="128" t="s">
        <v>220</v>
      </c>
      <c r="AC19" s="19"/>
      <c r="AD19" s="20"/>
      <c r="AE19" s="20">
        <v>100</v>
      </c>
      <c r="AF19" s="21"/>
      <c r="AG19" s="19"/>
      <c r="AH19" s="21"/>
      <c r="AI19" s="19"/>
      <c r="AJ19" s="21"/>
      <c r="AK19" s="22">
        <f t="shared" si="3"/>
        <v>7.1</v>
      </c>
      <c r="AL19" s="30">
        <f t="shared" si="4"/>
        <v>7.1</v>
      </c>
      <c r="AM19" s="20"/>
      <c r="AN19" s="20"/>
      <c r="AO19" s="20"/>
      <c r="AP19" s="20"/>
      <c r="AQ19" s="20"/>
      <c r="AR19" s="20"/>
      <c r="AS19" s="20"/>
      <c r="AT19" s="21"/>
      <c r="AY19" s="23"/>
    </row>
    <row r="20" spans="1:51" ht="15" customHeight="1" x14ac:dyDescent="0.2">
      <c r="A20" s="19"/>
      <c r="B20" s="20"/>
      <c r="C20" s="174"/>
      <c r="D20" s="174"/>
      <c r="E20" s="153">
        <v>79.2</v>
      </c>
      <c r="F20" s="174"/>
      <c r="G20" s="174"/>
      <c r="H20" s="174"/>
      <c r="I20" s="2"/>
      <c r="J20" s="2"/>
      <c r="K20" s="2"/>
      <c r="L20" s="2"/>
      <c r="M20" s="174"/>
      <c r="N20" s="174"/>
      <c r="O20" s="174"/>
      <c r="P20" s="174"/>
      <c r="Q20" s="174"/>
      <c r="R20" s="174"/>
      <c r="S20" s="174"/>
      <c r="T20" s="174"/>
      <c r="U20" s="174"/>
      <c r="V20" s="174"/>
      <c r="W20" s="174"/>
      <c r="X20" s="174"/>
      <c r="Y20" s="174"/>
      <c r="Z20" s="174"/>
      <c r="AA20" s="21">
        <f t="shared" si="0"/>
        <v>79.2</v>
      </c>
      <c r="AB20" s="128" t="s">
        <v>24</v>
      </c>
      <c r="AC20" s="19"/>
      <c r="AD20" s="20">
        <v>90</v>
      </c>
      <c r="AE20" s="20"/>
      <c r="AF20" s="21"/>
      <c r="AG20" s="19"/>
      <c r="AH20" s="21"/>
      <c r="AI20" s="19"/>
      <c r="AJ20" s="21"/>
      <c r="AK20" s="22">
        <f t="shared" si="3"/>
        <v>71.28</v>
      </c>
      <c r="AL20" s="30"/>
      <c r="AM20" s="20"/>
      <c r="AN20" s="20"/>
      <c r="AO20" s="20"/>
      <c r="AP20" s="20"/>
      <c r="AQ20" s="20">
        <f>AA20*AD20%</f>
        <v>71.28</v>
      </c>
      <c r="AR20" s="20"/>
      <c r="AS20" s="20"/>
      <c r="AT20" s="21"/>
      <c r="AV20" s="23"/>
    </row>
    <row r="21" spans="1:51" ht="15" customHeight="1" x14ac:dyDescent="0.2">
      <c r="A21" s="19"/>
      <c r="B21" s="20"/>
      <c r="C21" s="174"/>
      <c r="D21" s="174"/>
      <c r="E21" s="174"/>
      <c r="F21" s="174"/>
      <c r="G21" s="174"/>
      <c r="H21" s="174"/>
      <c r="I21" s="153">
        <v>643</v>
      </c>
      <c r="J21" s="153"/>
      <c r="K21" s="153"/>
      <c r="L21" s="153"/>
      <c r="M21" s="174"/>
      <c r="N21" s="174"/>
      <c r="O21" s="174"/>
      <c r="P21" s="174"/>
      <c r="Q21" s="174"/>
      <c r="R21" s="174"/>
      <c r="S21" s="174"/>
      <c r="T21" s="174"/>
      <c r="U21" s="174"/>
      <c r="V21" s="174"/>
      <c r="W21" s="174"/>
      <c r="X21" s="174"/>
      <c r="Y21" s="174"/>
      <c r="Z21" s="174"/>
      <c r="AA21" s="21">
        <f t="shared" si="0"/>
        <v>643</v>
      </c>
      <c r="AB21" s="128" t="s">
        <v>25</v>
      </c>
      <c r="AC21" s="19"/>
      <c r="AD21" s="20">
        <v>90</v>
      </c>
      <c r="AE21" s="20"/>
      <c r="AF21" s="21"/>
      <c r="AG21" s="19"/>
      <c r="AH21" s="21"/>
      <c r="AI21" s="19"/>
      <c r="AJ21" s="21"/>
      <c r="AK21" s="22">
        <f t="shared" si="3"/>
        <v>578.70000000000005</v>
      </c>
      <c r="AL21" s="30"/>
      <c r="AM21" s="20"/>
      <c r="AN21" s="20"/>
      <c r="AO21" s="20"/>
      <c r="AP21" s="20"/>
      <c r="AQ21" s="20">
        <f>AA21*AD21%</f>
        <v>578.70000000000005</v>
      </c>
      <c r="AR21" s="20"/>
      <c r="AS21" s="20"/>
      <c r="AT21" s="21"/>
      <c r="AV21" s="23"/>
    </row>
    <row r="22" spans="1:51" ht="15" customHeight="1" x14ac:dyDescent="0.2">
      <c r="A22" s="19"/>
      <c r="B22" s="20"/>
      <c r="C22" s="153">
        <v>0</v>
      </c>
      <c r="D22" s="153">
        <v>154.80000000000001</v>
      </c>
      <c r="E22" s="153">
        <v>0</v>
      </c>
      <c r="F22" s="153">
        <v>0</v>
      </c>
      <c r="G22" s="2"/>
      <c r="H22" s="153">
        <v>0</v>
      </c>
      <c r="I22" s="153">
        <v>0</v>
      </c>
      <c r="J22" s="2"/>
      <c r="K22" s="2"/>
      <c r="L22" s="2"/>
      <c r="M22" s="2"/>
      <c r="N22" s="2"/>
      <c r="O22" s="2"/>
      <c r="P22" s="2"/>
      <c r="Q22" s="2"/>
      <c r="R22" s="153">
        <v>0</v>
      </c>
      <c r="S22" s="153">
        <v>0</v>
      </c>
      <c r="T22" s="153">
        <v>0</v>
      </c>
      <c r="U22" s="153">
        <v>0</v>
      </c>
      <c r="V22" s="153">
        <v>40.200000000000003</v>
      </c>
      <c r="W22" s="153">
        <v>0</v>
      </c>
      <c r="X22" s="153">
        <v>0</v>
      </c>
      <c r="Y22" s="153">
        <v>0</v>
      </c>
      <c r="Z22" s="153">
        <v>0</v>
      </c>
      <c r="AA22" s="21">
        <f t="shared" si="0"/>
        <v>195</v>
      </c>
      <c r="AB22" s="128" t="s">
        <v>637</v>
      </c>
      <c r="AC22" s="19"/>
      <c r="AD22" s="20">
        <v>90</v>
      </c>
      <c r="AE22" s="20"/>
      <c r="AF22" s="21"/>
      <c r="AG22" s="19"/>
      <c r="AH22" s="21"/>
      <c r="AI22" s="19"/>
      <c r="AJ22" s="21"/>
      <c r="AK22" s="22">
        <f t="shared" si="3"/>
        <v>175.5</v>
      </c>
      <c r="AL22" s="175"/>
      <c r="AM22" s="174"/>
      <c r="AN22" s="174"/>
      <c r="AO22" s="174"/>
      <c r="AP22" s="174"/>
      <c r="AQ22" s="174">
        <f>AA22*AD22%</f>
        <v>175.5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9.4</v>
      </c>
      <c r="P23" s="174"/>
      <c r="Q23" s="174"/>
      <c r="R23" s="174"/>
      <c r="S23" s="174"/>
      <c r="T23" s="174"/>
      <c r="U23" s="174"/>
      <c r="V23" s="174"/>
      <c r="W23" s="174"/>
      <c r="X23" s="174"/>
      <c r="Y23" s="174"/>
      <c r="Z23" s="174"/>
      <c r="AA23" s="21">
        <f t="shared" si="0"/>
        <v>9.4</v>
      </c>
      <c r="AB23" s="128" t="s">
        <v>14</v>
      </c>
      <c r="AC23" s="20">
        <v>100</v>
      </c>
      <c r="AD23" s="20"/>
      <c r="AE23" s="20"/>
      <c r="AF23" s="21"/>
      <c r="AG23" s="19">
        <f>AA23*AC23/100</f>
        <v>9.4</v>
      </c>
      <c r="AH23" s="21"/>
      <c r="AI23" s="19"/>
      <c r="AJ23" s="21"/>
      <c r="AK23" s="22">
        <f t="shared" si="3"/>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648.98299999999995</v>
      </c>
      <c r="N24" s="174"/>
      <c r="O24" s="174"/>
      <c r="P24" s="174"/>
      <c r="Q24" s="174"/>
      <c r="R24" s="174"/>
      <c r="S24" s="174"/>
      <c r="T24" s="174"/>
      <c r="U24" s="174"/>
      <c r="V24" s="174"/>
      <c r="W24" s="174"/>
      <c r="X24" s="174"/>
      <c r="Y24" s="174"/>
      <c r="Z24" s="174"/>
      <c r="AA24" s="21">
        <f t="shared" si="0"/>
        <v>648.98299999999995</v>
      </c>
      <c r="AB24" s="128" t="s">
        <v>26</v>
      </c>
      <c r="AC24" s="20">
        <v>100</v>
      </c>
      <c r="AD24" s="20"/>
      <c r="AE24" s="20"/>
      <c r="AF24" s="21"/>
      <c r="AG24" s="19">
        <f>AC24*AA24/100</f>
        <v>648.98299999999995</v>
      </c>
      <c r="AH24" s="21"/>
      <c r="AI24" s="19"/>
      <c r="AJ24" s="21"/>
      <c r="AK24" s="22">
        <f t="shared" si="3"/>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f t="shared" si="0"/>
        <v>0</v>
      </c>
      <c r="AB25" s="128" t="s">
        <v>75</v>
      </c>
      <c r="AC25" s="170">
        <v>100</v>
      </c>
      <c r="AD25" s="174"/>
      <c r="AE25" s="174"/>
      <c r="AF25" s="169"/>
      <c r="AG25" s="170">
        <f>AC25*AA25/100</f>
        <v>0</v>
      </c>
      <c r="AH25" s="169"/>
      <c r="AI25" s="19"/>
      <c r="AJ25" s="21"/>
      <c r="AK25" s="22">
        <f t="shared" si="3"/>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f t="shared" si="0"/>
        <v>0</v>
      </c>
      <c r="AB26" s="128" t="s">
        <v>638</v>
      </c>
      <c r="AC26" s="153">
        <v>100</v>
      </c>
      <c r="AD26" s="174"/>
      <c r="AE26" s="174"/>
      <c r="AF26" s="169"/>
      <c r="AG26" s="170">
        <f>AC26*AA26/100</f>
        <v>0</v>
      </c>
      <c r="AH26" s="169"/>
      <c r="AI26" s="19"/>
      <c r="AJ26" s="21"/>
      <c r="AK26" s="22">
        <f t="shared" si="3"/>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f>-(I27*33.3%)/AD27%</f>
        <v>0</v>
      </c>
      <c r="S27" s="24">
        <f>-(I27*10.5%)/AD27%</f>
        <v>0</v>
      </c>
      <c r="T27" s="24">
        <f>-(I27*6.6%)/AD27%</f>
        <v>0</v>
      </c>
      <c r="U27" s="24"/>
      <c r="V27" s="24"/>
      <c r="W27" s="24">
        <f>-(I27*49.6%)/AD27%</f>
        <v>0</v>
      </c>
      <c r="X27" s="172"/>
      <c r="Y27" s="172"/>
      <c r="Z27" s="172"/>
      <c r="AA27" s="21">
        <f t="shared" si="0"/>
        <v>0</v>
      </c>
      <c r="AB27" s="129" t="s">
        <v>174</v>
      </c>
      <c r="AC27" s="180"/>
      <c r="AD27" s="172">
        <v>100</v>
      </c>
      <c r="AE27" s="172"/>
      <c r="AF27" s="173"/>
      <c r="AG27" s="181"/>
      <c r="AH27" s="173"/>
      <c r="AI27" s="6"/>
      <c r="AJ27" s="7"/>
      <c r="AK27" s="22">
        <f t="shared" si="3"/>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f>AA28*46%</f>
        <v>0</v>
      </c>
      <c r="S28" s="2"/>
      <c r="T28" s="2"/>
      <c r="U28" s="2"/>
      <c r="V28" s="2"/>
      <c r="W28" s="153">
        <f>AA28*54%</f>
        <v>0</v>
      </c>
      <c r="X28" s="172"/>
      <c r="Y28" s="172"/>
      <c r="Z28" s="172"/>
      <c r="AA28" s="25">
        <v>0</v>
      </c>
      <c r="AB28" s="129" t="s">
        <v>173</v>
      </c>
      <c r="AC28" s="153">
        <v>34.200000000000003</v>
      </c>
      <c r="AD28" s="2"/>
      <c r="AE28" s="172"/>
      <c r="AF28" s="173"/>
      <c r="AG28" s="170">
        <f>AA28*AC28/100</f>
        <v>0</v>
      </c>
      <c r="AH28" s="169"/>
      <c r="AI28" s="170">
        <f>AA28*AE28/100</f>
        <v>0</v>
      </c>
      <c r="AJ28" s="169"/>
      <c r="AK28" s="22">
        <f t="shared" si="3"/>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f t="shared" si="0"/>
        <v>0</v>
      </c>
      <c r="AB29" s="129" t="s">
        <v>184</v>
      </c>
      <c r="AC29" s="155">
        <v>0</v>
      </c>
      <c r="AD29" s="172"/>
      <c r="AE29" s="153">
        <v>0</v>
      </c>
      <c r="AF29" s="169"/>
      <c r="AG29" s="170">
        <f>AA29*AC29/100</f>
        <v>0</v>
      </c>
      <c r="AH29" s="169"/>
      <c r="AI29" s="19">
        <f>AA29*AE29/100</f>
        <v>0</v>
      </c>
      <c r="AJ29" s="21"/>
      <c r="AK29" s="22">
        <f t="shared" si="3"/>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f t="shared" si="0"/>
        <v>0</v>
      </c>
      <c r="AB30" s="129" t="s">
        <v>13</v>
      </c>
      <c r="AC30" s="181"/>
      <c r="AD30" s="172"/>
      <c r="AE30" s="153">
        <v>0</v>
      </c>
      <c r="AF30" s="169"/>
      <c r="AG30" s="170"/>
      <c r="AH30" s="169"/>
      <c r="AI30" s="19">
        <f>AA30*AE30/100</f>
        <v>0</v>
      </c>
      <c r="AJ30" s="21"/>
      <c r="AK30" s="22">
        <f t="shared" si="3"/>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f>AI31-AH31</f>
        <v>0</v>
      </c>
      <c r="R31" s="172"/>
      <c r="S31" s="172"/>
      <c r="T31" s="172"/>
      <c r="U31" s="172"/>
      <c r="V31" s="172"/>
      <c r="W31" s="172"/>
      <c r="X31" s="172"/>
      <c r="Y31" s="172"/>
      <c r="Z31" s="172"/>
      <c r="AA31" s="21">
        <f t="shared" si="0"/>
        <v>0</v>
      </c>
      <c r="AB31" s="129" t="s">
        <v>171</v>
      </c>
      <c r="AC31" s="170"/>
      <c r="AD31" s="174"/>
      <c r="AE31" s="24">
        <v>300</v>
      </c>
      <c r="AF31" s="169"/>
      <c r="AG31" s="181">
        <f>-AH31/$D$2%</f>
        <v>0</v>
      </c>
      <c r="AH31" s="700">
        <v>0</v>
      </c>
      <c r="AI31" s="182">
        <f>AH31*AE31%</f>
        <v>0</v>
      </c>
      <c r="AJ31" s="7"/>
      <c r="AK31" s="22">
        <f t="shared" si="3"/>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f t="shared" si="0"/>
        <v>0</v>
      </c>
      <c r="AB32" s="129" t="s">
        <v>172</v>
      </c>
      <c r="AC32" s="170"/>
      <c r="AD32" s="174"/>
      <c r="AE32" s="24">
        <v>100</v>
      </c>
      <c r="AF32" s="169"/>
      <c r="AG32" s="181">
        <f>-AH32/$D$2%</f>
        <v>0</v>
      </c>
      <c r="AH32" s="700">
        <v>0</v>
      </c>
      <c r="AI32" s="170">
        <f>AH32*AE32%</f>
        <v>0</v>
      </c>
      <c r="AJ32" s="7"/>
      <c r="AK32" s="22">
        <f t="shared" si="3"/>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f t="shared" si="0"/>
        <v>0</v>
      </c>
      <c r="AB33" s="129" t="s">
        <v>27</v>
      </c>
      <c r="AC33" s="181"/>
      <c r="AD33" s="172"/>
      <c r="AE33" s="172"/>
      <c r="AF33" s="156">
        <v>77.3</v>
      </c>
      <c r="AG33" s="170"/>
      <c r="AH33" s="169"/>
      <c r="AI33" s="19">
        <f>-SUM(AI29:AI32)</f>
        <v>0</v>
      </c>
      <c r="AJ33" s="21">
        <f>-AI33*AF33%</f>
        <v>0</v>
      </c>
      <c r="AK33" s="22">
        <f>SUM(AL33:AT33)</f>
        <v>0</v>
      </c>
      <c r="AL33" s="30">
        <f>AJ33*64.3%</f>
        <v>0</v>
      </c>
      <c r="AM33" s="30">
        <f>AJ33*9.8%</f>
        <v>0</v>
      </c>
      <c r="AN33" s="20">
        <f>AJ33*13.1%</f>
        <v>0</v>
      </c>
      <c r="AO33" s="20">
        <f>AJ33*6.9%</f>
        <v>0</v>
      </c>
      <c r="AP33" s="20">
        <f>AJ33*0%</f>
        <v>0</v>
      </c>
      <c r="AQ33" s="20">
        <f>AJ33*4.4%</f>
        <v>0</v>
      </c>
      <c r="AR33" s="20">
        <f>AJ33*1.5%</f>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f t="shared" si="0"/>
        <v>0</v>
      </c>
      <c r="AB34" s="129" t="s">
        <v>185</v>
      </c>
      <c r="AC34" s="155">
        <v>0</v>
      </c>
      <c r="AD34" s="172"/>
      <c r="AE34" s="153">
        <v>0</v>
      </c>
      <c r="AF34" s="173"/>
      <c r="AG34" s="170">
        <f>AA34*AC34/100</f>
        <v>0</v>
      </c>
      <c r="AH34" s="169"/>
      <c r="AI34" s="19">
        <f>AA34*AE34/100</f>
        <v>0</v>
      </c>
      <c r="AJ34" s="21"/>
      <c r="AK34" s="22">
        <f t="shared" si="3"/>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f t="shared" si="0"/>
        <v>0</v>
      </c>
      <c r="AB35" s="129" t="s">
        <v>7</v>
      </c>
      <c r="AC35" s="181"/>
      <c r="AD35" s="172"/>
      <c r="AE35" s="153">
        <v>0</v>
      </c>
      <c r="AF35" s="173"/>
      <c r="AG35" s="170">
        <f>AA35*AC35/100</f>
        <v>0</v>
      </c>
      <c r="AH35" s="169"/>
      <c r="AI35" s="19">
        <f>AA35*AE35/100</f>
        <v>0</v>
      </c>
      <c r="AJ35" s="21"/>
      <c r="AK35" s="22">
        <f t="shared" si="3"/>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f t="shared" si="0"/>
        <v>0</v>
      </c>
      <c r="AB36" s="130" t="s">
        <v>28</v>
      </c>
      <c r="AC36" s="181"/>
      <c r="AD36" s="172"/>
      <c r="AE36" s="172"/>
      <c r="AF36" s="156">
        <v>77.3</v>
      </c>
      <c r="AG36" s="170"/>
      <c r="AH36" s="169"/>
      <c r="AI36" s="19">
        <f>-SUM(AI34:AI35)</f>
        <v>0</v>
      </c>
      <c r="AJ36" s="21">
        <f>-AI36*AF36%</f>
        <v>0</v>
      </c>
      <c r="AK36" s="22">
        <f t="shared" si="3"/>
        <v>0</v>
      </c>
      <c r="AL36" s="30">
        <f>AJ36*64.3%</f>
        <v>0</v>
      </c>
      <c r="AM36" s="30">
        <f>AJ36*9.8%</f>
        <v>0</v>
      </c>
      <c r="AN36" s="20">
        <f>AJ36*13.1%</f>
        <v>0</v>
      </c>
      <c r="AO36" s="20">
        <f>AJ36*6.9%</f>
        <v>0</v>
      </c>
      <c r="AP36" s="20">
        <f>AJ36*0%</f>
        <v>0</v>
      </c>
      <c r="AQ36" s="20">
        <f>AJ36*4.4%</f>
        <v>0</v>
      </c>
      <c r="AR36" s="20">
        <f>AJ36*1.5%</f>
        <v>0</v>
      </c>
      <c r="AS36" s="153"/>
      <c r="AT36" s="21"/>
    </row>
    <row r="37" spans="1:47" ht="15" customHeight="1" x14ac:dyDescent="0.2">
      <c r="A37" s="20"/>
      <c r="B37" s="153">
        <v>0</v>
      </c>
      <c r="C37" s="153">
        <v>0</v>
      </c>
      <c r="D37" s="153">
        <v>0</v>
      </c>
      <c r="E37" s="153">
        <v>0</v>
      </c>
      <c r="F37" s="153">
        <v>0</v>
      </c>
      <c r="G37" s="153">
        <v>0</v>
      </c>
      <c r="H37" s="153">
        <v>0</v>
      </c>
      <c r="I37" s="153">
        <v>328.2</v>
      </c>
      <c r="J37" s="692"/>
      <c r="K37" s="153"/>
      <c r="L37" s="153"/>
      <c r="M37" s="153">
        <v>0</v>
      </c>
      <c r="N37" s="153">
        <v>0</v>
      </c>
      <c r="O37" s="153">
        <v>0</v>
      </c>
      <c r="P37" s="153">
        <v>0</v>
      </c>
      <c r="Q37" s="153">
        <v>0</v>
      </c>
      <c r="R37" s="153">
        <v>0</v>
      </c>
      <c r="S37" s="153">
        <v>0</v>
      </c>
      <c r="T37" s="153">
        <v>0</v>
      </c>
      <c r="U37" s="153">
        <v>0</v>
      </c>
      <c r="V37" s="153">
        <v>198.8</v>
      </c>
      <c r="W37" s="153">
        <v>0</v>
      </c>
      <c r="X37" s="153">
        <v>0</v>
      </c>
      <c r="Y37" s="153">
        <v>3.2</v>
      </c>
      <c r="Z37" s="153">
        <v>0</v>
      </c>
      <c r="AA37" s="21">
        <f t="shared" si="0"/>
        <v>530.20000000000005</v>
      </c>
      <c r="AB37" s="130" t="s">
        <v>186</v>
      </c>
      <c r="AC37" s="155">
        <v>34.020218785364008</v>
      </c>
      <c r="AD37" s="172"/>
      <c r="AE37" s="153">
        <v>48.763862693323276</v>
      </c>
      <c r="AF37" s="173"/>
      <c r="AG37" s="19">
        <f>AA37*AC37/100</f>
        <v>180.37520000000001</v>
      </c>
      <c r="AH37" s="21"/>
      <c r="AI37" s="19">
        <f t="shared" ref="AI37" si="5">AA37*AE37/100</f>
        <v>258.54600000000005</v>
      </c>
      <c r="AJ37" s="21"/>
      <c r="AK37" s="22">
        <f t="shared" si="3"/>
        <v>0</v>
      </c>
      <c r="AL37" s="175"/>
      <c r="AM37" s="174"/>
      <c r="AN37" s="174"/>
      <c r="AO37" s="174"/>
      <c r="AP37" s="174"/>
      <c r="AQ37" s="174"/>
      <c r="AR37" s="174"/>
      <c r="AS37" s="174"/>
      <c r="AT37" s="21"/>
    </row>
    <row r="38" spans="1:47" ht="15" customHeight="1" x14ac:dyDescent="0.2">
      <c r="A38" s="20"/>
      <c r="B38" s="153">
        <v>0</v>
      </c>
      <c r="C38" s="153">
        <v>0</v>
      </c>
      <c r="D38" s="153">
        <v>0</v>
      </c>
      <c r="E38" s="153">
        <v>2</v>
      </c>
      <c r="F38" s="153">
        <v>0</v>
      </c>
      <c r="G38" s="153">
        <v>0</v>
      </c>
      <c r="H38" s="153">
        <v>0</v>
      </c>
      <c r="I38" s="153">
        <v>96.5</v>
      </c>
      <c r="J38" s="31"/>
      <c r="K38" s="153"/>
      <c r="L38" s="153"/>
      <c r="M38" s="153">
        <v>0</v>
      </c>
      <c r="N38" s="153">
        <v>0</v>
      </c>
      <c r="O38" s="153">
        <v>0</v>
      </c>
      <c r="P38" s="153">
        <v>0</v>
      </c>
      <c r="Q38" s="153">
        <v>0</v>
      </c>
      <c r="R38" s="153">
        <v>0</v>
      </c>
      <c r="S38" s="153">
        <v>92.1</v>
      </c>
      <c r="T38" s="153">
        <v>0</v>
      </c>
      <c r="U38" s="153">
        <v>113.7</v>
      </c>
      <c r="V38" s="153">
        <v>439</v>
      </c>
      <c r="W38" s="153">
        <v>0</v>
      </c>
      <c r="X38" s="153">
        <v>0</v>
      </c>
      <c r="Y38" s="153">
        <v>0</v>
      </c>
      <c r="Z38" s="153">
        <v>0</v>
      </c>
      <c r="AA38" s="21">
        <f t="shared" si="0"/>
        <v>743.3</v>
      </c>
      <c r="AB38" s="130" t="s">
        <v>209</v>
      </c>
      <c r="AC38" s="181"/>
      <c r="AD38" s="172"/>
      <c r="AE38" s="153">
        <v>88.067657742499676</v>
      </c>
      <c r="AF38" s="173"/>
      <c r="AG38" s="19">
        <f>AA38*AC38/100</f>
        <v>0</v>
      </c>
      <c r="AH38" s="21"/>
      <c r="AI38" s="19">
        <f>AA38*AE38/100</f>
        <v>654.6069</v>
      </c>
      <c r="AJ38" s="21"/>
      <c r="AK38" s="22">
        <f t="shared" si="3"/>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f>AI39-AH39</f>
        <v>0</v>
      </c>
      <c r="R39" s="2"/>
      <c r="S39" s="2"/>
      <c r="T39" s="2"/>
      <c r="U39" s="2"/>
      <c r="V39" s="2"/>
      <c r="W39" s="2"/>
      <c r="X39" s="2"/>
      <c r="Y39" s="2"/>
      <c r="Z39" s="2"/>
      <c r="AA39" s="21">
        <f t="shared" si="0"/>
        <v>0</v>
      </c>
      <c r="AB39" s="130" t="s">
        <v>210</v>
      </c>
      <c r="AC39" s="170"/>
      <c r="AD39" s="174"/>
      <c r="AE39" s="153">
        <v>0</v>
      </c>
      <c r="AF39" s="169"/>
      <c r="AG39" s="181">
        <f>-AH39/$D$2%</f>
        <v>0</v>
      </c>
      <c r="AH39" s="700">
        <v>0</v>
      </c>
      <c r="AI39" s="170">
        <f>(AH39+I39)*AE39%</f>
        <v>0</v>
      </c>
      <c r="AJ39" s="173"/>
      <c r="AK39" s="22">
        <f t="shared" si="3"/>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f t="shared" si="0"/>
        <v>0</v>
      </c>
      <c r="AB40" s="130" t="s">
        <v>211</v>
      </c>
      <c r="AC40" s="170"/>
      <c r="AD40" s="174"/>
      <c r="AE40" s="153">
        <v>0</v>
      </c>
      <c r="AF40" s="169"/>
      <c r="AG40" s="181">
        <f>-AH40/$D$2%</f>
        <v>0</v>
      </c>
      <c r="AH40" s="700">
        <v>0</v>
      </c>
      <c r="AI40" s="181">
        <f>AH40*AE40%</f>
        <v>0</v>
      </c>
      <c r="AJ40" s="173"/>
      <c r="AK40" s="22">
        <f t="shared" si="3"/>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f t="shared" si="0"/>
        <v>0</v>
      </c>
      <c r="AB41" s="130" t="s">
        <v>212</v>
      </c>
      <c r="AC41" s="181"/>
      <c r="AD41" s="172"/>
      <c r="AE41" s="153">
        <v>0</v>
      </c>
      <c r="AF41" s="173"/>
      <c r="AG41" s="19"/>
      <c r="AH41" s="21"/>
      <c r="AI41" s="19">
        <f t="shared" ref="AI41:AI42" si="6">AA41*AE41/100</f>
        <v>0</v>
      </c>
      <c r="AJ41" s="21"/>
      <c r="AK41" s="22">
        <f t="shared" si="3"/>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f t="shared" si="0"/>
        <v>0</v>
      </c>
      <c r="AB42" s="130" t="s">
        <v>213</v>
      </c>
      <c r="AC42" s="181"/>
      <c r="AD42" s="172"/>
      <c r="AE42" s="153">
        <v>100</v>
      </c>
      <c r="AF42" s="173"/>
      <c r="AG42" s="19">
        <f>AA42*AC42/100</f>
        <v>0</v>
      </c>
      <c r="AH42" s="21"/>
      <c r="AI42" s="19">
        <f t="shared" si="6"/>
        <v>0</v>
      </c>
      <c r="AJ42" s="21"/>
      <c r="AK42" s="22">
        <f t="shared" si="3"/>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f t="shared" si="0"/>
        <v>0</v>
      </c>
      <c r="AB43" s="130" t="s">
        <v>214</v>
      </c>
      <c r="AC43" s="181"/>
      <c r="AD43" s="172"/>
      <c r="AE43" s="172"/>
      <c r="AF43" s="156">
        <v>77.3</v>
      </c>
      <c r="AG43" s="170"/>
      <c r="AH43" s="169"/>
      <c r="AI43" s="170">
        <f>-SUM(AI37:AI42)</f>
        <v>-913.15290000000005</v>
      </c>
      <c r="AJ43" s="169">
        <f>-AI43*AF43%</f>
        <v>705.86719170000003</v>
      </c>
      <c r="AK43" s="22">
        <f t="shared" si="3"/>
        <v>705.86719170000003</v>
      </c>
      <c r="AL43" s="30">
        <f>AJ43*64.3%</f>
        <v>453.87260426310002</v>
      </c>
      <c r="AM43" s="30">
        <f>AJ43*9.8%</f>
        <v>69.174984786600007</v>
      </c>
      <c r="AN43" s="20">
        <f>AJ43*13.1%</f>
        <v>92.468602112700012</v>
      </c>
      <c r="AO43" s="20">
        <f>AJ43*6.9%</f>
        <v>48.704836227300007</v>
      </c>
      <c r="AP43" s="20">
        <f>AJ43*0%</f>
        <v>0</v>
      </c>
      <c r="AQ43" s="20">
        <f>AJ43*4.4%</f>
        <v>31.058156434800004</v>
      </c>
      <c r="AR43" s="20">
        <f>AJ43*1.5%</f>
        <v>10.588007875500001</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f t="shared" si="0"/>
        <v>0</v>
      </c>
      <c r="AB44" s="130" t="s">
        <v>187</v>
      </c>
      <c r="AC44" s="141">
        <v>0</v>
      </c>
      <c r="AD44" s="172"/>
      <c r="AE44" s="2">
        <v>0</v>
      </c>
      <c r="AF44" s="156"/>
      <c r="AG44" s="19">
        <f>AA44*AC44/100</f>
        <v>0</v>
      </c>
      <c r="AH44" s="169"/>
      <c r="AI44" s="170">
        <f>AA44*AE44/100</f>
        <v>0</v>
      </c>
      <c r="AJ44" s="169"/>
      <c r="AK44" s="22">
        <f t="shared" ref="AK44:AK59" si="7">SUM(AL44:AT44)</f>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f t="shared" si="0"/>
        <v>0</v>
      </c>
      <c r="AB45" s="130" t="s">
        <v>188</v>
      </c>
      <c r="AC45" s="181"/>
      <c r="AD45" s="172"/>
      <c r="AE45" s="153">
        <v>99</v>
      </c>
      <c r="AF45" s="173"/>
      <c r="AG45" s="170">
        <f>-AH45/$D$2%</f>
        <v>0</v>
      </c>
      <c r="AH45" s="169"/>
      <c r="AI45" s="170">
        <f>AA45*AE45%</f>
        <v>0</v>
      </c>
      <c r="AJ45" s="169"/>
      <c r="AK45" s="22">
        <f t="shared" si="7"/>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f>AI46-AH46</f>
        <v>0</v>
      </c>
      <c r="R46" s="24"/>
      <c r="S46" s="24"/>
      <c r="T46" s="24"/>
      <c r="U46" s="24"/>
      <c r="V46" s="24"/>
      <c r="W46" s="24"/>
      <c r="X46" s="24"/>
      <c r="Y46" s="24"/>
      <c r="Z46" s="24"/>
      <c r="AA46" s="29">
        <f t="shared" si="0"/>
        <v>0</v>
      </c>
      <c r="AB46" s="130" t="s">
        <v>189</v>
      </c>
      <c r="AC46" s="170"/>
      <c r="AD46" s="174"/>
      <c r="AE46" s="153">
        <v>300</v>
      </c>
      <c r="AF46" s="169"/>
      <c r="AG46" s="170">
        <f>-AH46/$D$2%</f>
        <v>0</v>
      </c>
      <c r="AH46" s="156"/>
      <c r="AI46" s="170">
        <f>(AH46+I46)*AE46%</f>
        <v>0</v>
      </c>
      <c r="AJ46" s="21"/>
      <c r="AK46" s="22">
        <f t="shared" si="7"/>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f t="shared" si="0"/>
        <v>0</v>
      </c>
      <c r="AB47" s="130" t="s">
        <v>190</v>
      </c>
      <c r="AC47" s="170"/>
      <c r="AD47" s="174"/>
      <c r="AE47" s="153">
        <v>100</v>
      </c>
      <c r="AF47" s="169"/>
      <c r="AG47" s="170">
        <f>-AH47/$D$2%</f>
        <v>0</v>
      </c>
      <c r="AH47" s="156"/>
      <c r="AI47" s="181">
        <f>AH47*AE47%</f>
        <v>0</v>
      </c>
      <c r="AJ47" s="169"/>
      <c r="AK47" s="22">
        <f t="shared" si="7"/>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f t="shared" si="0"/>
        <v>0</v>
      </c>
      <c r="AB48" s="130" t="s">
        <v>191</v>
      </c>
      <c r="AC48" s="170"/>
      <c r="AD48" s="174"/>
      <c r="AE48" s="24">
        <v>100</v>
      </c>
      <c r="AF48" s="169"/>
      <c r="AG48" s="170"/>
      <c r="AH48" s="169"/>
      <c r="AI48" s="170">
        <f>AA48*AE48/100</f>
        <v>0</v>
      </c>
      <c r="AJ48" s="169"/>
      <c r="AK48" s="22">
        <f t="shared" si="7"/>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f t="shared" si="0"/>
        <v>0</v>
      </c>
      <c r="AB49" s="130" t="s">
        <v>192</v>
      </c>
      <c r="AC49" s="181"/>
      <c r="AD49" s="172"/>
      <c r="AE49" s="153">
        <v>100</v>
      </c>
      <c r="AF49" s="173"/>
      <c r="AG49" s="170">
        <f>AA49*AC49%</f>
        <v>0</v>
      </c>
      <c r="AH49" s="169"/>
      <c r="AI49" s="170">
        <f>AA49*AE49%</f>
        <v>0</v>
      </c>
      <c r="AJ49" s="169"/>
      <c r="AK49" s="22">
        <f t="shared" si="7"/>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f t="shared" si="0"/>
        <v>0</v>
      </c>
      <c r="AB50" s="130" t="s">
        <v>193</v>
      </c>
      <c r="AC50" s="181"/>
      <c r="AD50" s="172"/>
      <c r="AE50" s="2">
        <v>100</v>
      </c>
      <c r="AF50" s="173"/>
      <c r="AG50" s="170"/>
      <c r="AH50" s="169"/>
      <c r="AI50" s="33"/>
      <c r="AJ50" s="169"/>
      <c r="AK50" s="22">
        <f t="shared" si="7"/>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f t="shared" si="0"/>
        <v>0</v>
      </c>
      <c r="AB51" s="130" t="s">
        <v>194</v>
      </c>
      <c r="AC51" s="181"/>
      <c r="AD51" s="172"/>
      <c r="AE51" s="172"/>
      <c r="AF51" s="156">
        <v>77.3</v>
      </c>
      <c r="AG51" s="170"/>
      <c r="AH51" s="169"/>
      <c r="AI51" s="6">
        <f>-SUM(AI44:AI50)</f>
        <v>0</v>
      </c>
      <c r="AJ51" s="169">
        <f>-AI51*AF51/100</f>
        <v>0</v>
      </c>
      <c r="AK51" s="22">
        <f t="shared" si="7"/>
        <v>0</v>
      </c>
      <c r="AL51" s="30">
        <f>AJ51*64.3%</f>
        <v>0</v>
      </c>
      <c r="AM51" s="30">
        <f>AJ51*9.8%</f>
        <v>0</v>
      </c>
      <c r="AN51" s="20">
        <f>AJ51*13.1%</f>
        <v>0</v>
      </c>
      <c r="AO51" s="20">
        <f>AJ51*6.9%</f>
        <v>0</v>
      </c>
      <c r="AP51" s="20">
        <f>AJ51*0%</f>
        <v>0</v>
      </c>
      <c r="AQ51" s="20">
        <f>AJ51*4.4%</f>
        <v>0</v>
      </c>
      <c r="AR51" s="20">
        <f>AJ51*1.5%</f>
        <v>0</v>
      </c>
      <c r="AS51" s="153"/>
      <c r="AT51" s="21"/>
    </row>
    <row r="52" spans="1:46" ht="15" customHeight="1" x14ac:dyDescent="0.2">
      <c r="A52" s="20"/>
      <c r="B52" s="153">
        <v>0</v>
      </c>
      <c r="C52" s="153">
        <v>0</v>
      </c>
      <c r="D52" s="153">
        <v>0</v>
      </c>
      <c r="E52" s="153">
        <v>0</v>
      </c>
      <c r="F52" s="153">
        <v>0</v>
      </c>
      <c r="G52" s="153">
        <v>0</v>
      </c>
      <c r="H52" s="153">
        <v>0</v>
      </c>
      <c r="I52" s="153">
        <v>3.9</v>
      </c>
      <c r="J52" s="31"/>
      <c r="K52" s="2"/>
      <c r="L52" s="2"/>
      <c r="M52" s="153">
        <v>0</v>
      </c>
      <c r="N52" s="153">
        <v>0</v>
      </c>
      <c r="O52" s="153">
        <v>0</v>
      </c>
      <c r="P52" s="153">
        <v>0</v>
      </c>
      <c r="Q52" s="153">
        <v>0</v>
      </c>
      <c r="R52" s="153">
        <v>29.347999999999999</v>
      </c>
      <c r="S52" s="153">
        <v>0</v>
      </c>
      <c r="T52" s="153">
        <v>0</v>
      </c>
      <c r="U52" s="153">
        <v>0</v>
      </c>
      <c r="V52" s="153">
        <v>0</v>
      </c>
      <c r="W52" s="153">
        <v>34.451999999999998</v>
      </c>
      <c r="X52" s="153">
        <v>0</v>
      </c>
      <c r="Y52" s="153">
        <v>0</v>
      </c>
      <c r="Z52" s="153">
        <v>0</v>
      </c>
      <c r="AA52" s="29">
        <f t="shared" si="0"/>
        <v>67.699999999999989</v>
      </c>
      <c r="AB52" s="130" t="s">
        <v>195</v>
      </c>
      <c r="AC52" s="155">
        <v>35.299999999999997</v>
      </c>
      <c r="AD52" s="172"/>
      <c r="AE52" s="153">
        <v>50.1</v>
      </c>
      <c r="AF52" s="173"/>
      <c r="AG52" s="19">
        <f t="shared" ref="AG52:AG54" si="8">AC52/100*AA52</f>
        <v>23.898099999999996</v>
      </c>
      <c r="AH52" s="21"/>
      <c r="AI52" s="19">
        <f>AA52*AE52/100</f>
        <v>33.917699999999996</v>
      </c>
      <c r="AJ52" s="21"/>
      <c r="AK52" s="22">
        <f t="shared" si="7"/>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7.2</v>
      </c>
      <c r="W53" s="24">
        <v>0</v>
      </c>
      <c r="X53" s="24">
        <v>0</v>
      </c>
      <c r="Y53" s="24">
        <v>0</v>
      </c>
      <c r="Z53" s="24">
        <v>0</v>
      </c>
      <c r="AA53" s="29">
        <f t="shared" si="0"/>
        <v>7.2</v>
      </c>
      <c r="AB53" s="130" t="s">
        <v>196</v>
      </c>
      <c r="AC53" s="181"/>
      <c r="AD53" s="172"/>
      <c r="AE53" s="153">
        <v>108.7</v>
      </c>
      <c r="AF53" s="173"/>
      <c r="AG53" s="19">
        <f t="shared" si="8"/>
        <v>0</v>
      </c>
      <c r="AH53" s="21"/>
      <c r="AI53" s="19">
        <f>AA53*AE53/100</f>
        <v>7.8263999999999996</v>
      </c>
      <c r="AJ53" s="21"/>
      <c r="AK53" s="22">
        <f t="shared" si="7"/>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f t="shared" si="0"/>
        <v>0</v>
      </c>
      <c r="AB54" s="130" t="s">
        <v>197</v>
      </c>
      <c r="AC54" s="181"/>
      <c r="AD54" s="172"/>
      <c r="AE54" s="2">
        <v>100</v>
      </c>
      <c r="AF54" s="173"/>
      <c r="AG54" s="19">
        <f t="shared" si="8"/>
        <v>0</v>
      </c>
      <c r="AH54" s="156"/>
      <c r="AI54" s="33">
        <v>0</v>
      </c>
      <c r="AJ54" s="21"/>
      <c r="AK54" s="22">
        <f t="shared" si="7"/>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f t="shared" si="0"/>
        <v>0</v>
      </c>
      <c r="AB55" s="675" t="s">
        <v>198</v>
      </c>
      <c r="AC55" s="6"/>
      <c r="AD55" s="148"/>
      <c r="AE55" s="148"/>
      <c r="AF55" s="183"/>
      <c r="AG55" s="19">
        <f>-AH55</f>
        <v>0</v>
      </c>
      <c r="AH55" s="8">
        <v>0</v>
      </c>
      <c r="AI55" s="141"/>
      <c r="AJ55" s="21"/>
      <c r="AK55" s="22">
        <f t="shared" si="7"/>
        <v>0</v>
      </c>
      <c r="AL55" s="175"/>
      <c r="AM55" s="174"/>
      <c r="AN55" s="174"/>
      <c r="AO55" s="174"/>
      <c r="AP55" s="174"/>
      <c r="AQ55" s="174">
        <f>AH55</f>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f t="shared" si="0"/>
        <v>0</v>
      </c>
      <c r="AB56" s="675" t="s">
        <v>656</v>
      </c>
      <c r="AC56" s="6"/>
      <c r="AD56" s="148"/>
      <c r="AE56" s="148"/>
      <c r="AF56" s="173"/>
      <c r="AG56" s="19"/>
      <c r="AH56" s="173"/>
      <c r="AI56" s="141">
        <v>-37.799999999999997</v>
      </c>
      <c r="AJ56" s="21"/>
      <c r="AK56" s="22">
        <f t="shared" si="7"/>
        <v>37.799999999999997</v>
      </c>
      <c r="AL56" s="175"/>
      <c r="AM56" s="174"/>
      <c r="AN56" s="174"/>
      <c r="AO56" s="174"/>
      <c r="AP56" s="174"/>
      <c r="AQ56" s="174">
        <f>-AI56</f>
        <v>37.799999999999997</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f t="shared" si="0"/>
        <v>0</v>
      </c>
      <c r="AB57" s="130" t="s">
        <v>200</v>
      </c>
      <c r="AC57" s="6">
        <v>65</v>
      </c>
      <c r="AD57" s="148"/>
      <c r="AE57" s="148">
        <v>15</v>
      </c>
      <c r="AF57" s="173"/>
      <c r="AG57" s="19">
        <f>-AH57/$D$2%</f>
        <v>0</v>
      </c>
      <c r="AH57" s="173"/>
      <c r="AI57" s="141">
        <f>AH57*AE57%</f>
        <v>0</v>
      </c>
      <c r="AJ57" s="21">
        <f>AI57*AF60%</f>
        <v>0</v>
      </c>
      <c r="AK57" s="22">
        <f t="shared" si="7"/>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f t="shared" si="0"/>
        <v>0</v>
      </c>
      <c r="AB58" s="130" t="s">
        <v>201</v>
      </c>
      <c r="AC58" s="6">
        <v>630</v>
      </c>
      <c r="AD58" s="148"/>
      <c r="AE58" s="148"/>
      <c r="AF58" s="173"/>
      <c r="AG58" s="19">
        <f>-AH58/$D$2%</f>
        <v>0</v>
      </c>
      <c r="AH58" s="173"/>
      <c r="AI58" s="141">
        <f t="shared" ref="AI58:AI59" si="9">AH58*AE58%</f>
        <v>0</v>
      </c>
      <c r="AJ58" s="21">
        <f t="shared" ref="AJ58:AJ59" si="10">AI58*AF61%</f>
        <v>0</v>
      </c>
      <c r="AK58" s="22">
        <f t="shared" si="7"/>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f t="shared" si="0"/>
        <v>0</v>
      </c>
      <c r="AB59" s="130" t="s">
        <v>202</v>
      </c>
      <c r="AC59" s="6"/>
      <c r="AD59" s="148"/>
      <c r="AE59" s="148"/>
      <c r="AF59" s="173"/>
      <c r="AG59" s="19">
        <f>-AH59/$D$2%</f>
        <v>0</v>
      </c>
      <c r="AH59" s="173"/>
      <c r="AI59" s="141">
        <f t="shared" si="9"/>
        <v>0</v>
      </c>
      <c r="AJ59" s="21">
        <f t="shared" si="10"/>
        <v>0</v>
      </c>
      <c r="AK59" s="22">
        <f t="shared" si="7"/>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f t="shared" si="0"/>
        <v>0</v>
      </c>
      <c r="AB60" s="130" t="s">
        <v>203</v>
      </c>
      <c r="AC60" s="6"/>
      <c r="AD60" s="148"/>
      <c r="AE60" s="148"/>
      <c r="AF60" s="156">
        <v>77.3</v>
      </c>
      <c r="AG60" s="19"/>
      <c r="AH60" s="21"/>
      <c r="AI60" s="19">
        <f>-SUM(AI52:AI59)</f>
        <v>-3.9440999999999988</v>
      </c>
      <c r="AJ60" s="21">
        <f>-AI60*AF60/100</f>
        <v>3.0487892999999993</v>
      </c>
      <c r="AK60" s="22">
        <f t="shared" ref="AK60:AK61" si="11">SUM(AL60:AT60)</f>
        <v>3.0487892999999993</v>
      </c>
      <c r="AL60" s="30">
        <f>AJ60*64.3%</f>
        <v>1.9603715198999996</v>
      </c>
      <c r="AM60" s="30">
        <f>AJ60*9.8%</f>
        <v>0.29878135139999995</v>
      </c>
      <c r="AN60" s="20">
        <f>AJ60*13.1%</f>
        <v>0.39939139829999992</v>
      </c>
      <c r="AO60" s="20">
        <f>AJ60*6.9%</f>
        <v>0.21036646169999998</v>
      </c>
      <c r="AP60" s="20">
        <f>AJ60*0%</f>
        <v>0</v>
      </c>
      <c r="AQ60" s="20">
        <f>AJ60*4.4%</f>
        <v>0.13414672919999998</v>
      </c>
      <c r="AR60" s="20">
        <f>AJ60*1.5%</f>
        <v>4.5731839499999989E-2</v>
      </c>
      <c r="AS60" s="153"/>
      <c r="AT60" s="21"/>
    </row>
    <row r="61" spans="1:46" ht="15" customHeight="1" x14ac:dyDescent="0.2">
      <c r="A61" s="19"/>
      <c r="B61" s="20"/>
      <c r="C61" s="20"/>
      <c r="D61" s="20"/>
      <c r="E61" s="20"/>
      <c r="F61" s="172"/>
      <c r="G61" s="172"/>
      <c r="H61" s="153">
        <f>AA61-S61</f>
        <v>563.18981947494888</v>
      </c>
      <c r="I61" s="172"/>
      <c r="J61" s="172"/>
      <c r="K61" s="172"/>
      <c r="L61" s="172"/>
      <c r="M61" s="172"/>
      <c r="N61" s="172"/>
      <c r="O61" s="172"/>
      <c r="P61" s="172"/>
      <c r="Q61" s="172"/>
      <c r="R61" s="172"/>
      <c r="S61" s="153">
        <f>AA61*3.1%</f>
        <v>18.017424565246042</v>
      </c>
      <c r="T61" s="174"/>
      <c r="U61" s="20"/>
      <c r="V61" s="20"/>
      <c r="W61" s="20"/>
      <c r="X61" s="20"/>
      <c r="Y61" s="20"/>
      <c r="Z61" s="20"/>
      <c r="AA61" s="153">
        <v>581.20724404019495</v>
      </c>
      <c r="AB61" s="130" t="s">
        <v>204</v>
      </c>
      <c r="AC61" s="170"/>
      <c r="AD61" s="174">
        <v>19</v>
      </c>
      <c r="AE61" s="174"/>
      <c r="AF61" s="21"/>
      <c r="AG61" s="19"/>
      <c r="AH61" s="21"/>
      <c r="AI61" s="19"/>
      <c r="AJ61" s="21"/>
      <c r="AK61" s="22">
        <f t="shared" si="11"/>
        <v>110.42937636763703</v>
      </c>
      <c r="AL61" s="30"/>
      <c r="AM61" s="20"/>
      <c r="AN61" s="20"/>
      <c r="AO61" s="20"/>
      <c r="AP61" s="20"/>
      <c r="AQ61" s="20"/>
      <c r="AR61" s="20"/>
      <c r="AS61" s="20"/>
      <c r="AT61" s="21">
        <f>AA61*AD61/100</f>
        <v>110.42937636763703</v>
      </c>
    </row>
    <row r="62" spans="1:46" ht="15" customHeight="1" x14ac:dyDescent="0.2">
      <c r="A62" s="19"/>
      <c r="B62" s="20"/>
      <c r="C62" s="20"/>
      <c r="D62" s="20"/>
      <c r="E62" s="20"/>
      <c r="F62" s="153">
        <f>AA62-S62</f>
        <v>622.68363130458295</v>
      </c>
      <c r="G62" s="172"/>
      <c r="H62" s="172"/>
      <c r="I62" s="172"/>
      <c r="J62" s="172"/>
      <c r="K62" s="172"/>
      <c r="L62" s="172"/>
      <c r="M62" s="172"/>
      <c r="N62" s="172"/>
      <c r="O62" s="172"/>
      <c r="P62" s="172"/>
      <c r="Q62" s="172"/>
      <c r="R62" s="172"/>
      <c r="S62" s="153">
        <f>AA62*3.7%</f>
        <v>23.92450089124566</v>
      </c>
      <c r="T62" s="174"/>
      <c r="U62" s="20"/>
      <c r="V62" s="20"/>
      <c r="W62" s="20"/>
      <c r="X62" s="20"/>
      <c r="Y62" s="20"/>
      <c r="Z62" s="20"/>
      <c r="AA62" s="153">
        <v>646.6081321958286</v>
      </c>
      <c r="AB62" s="130" t="s">
        <v>205</v>
      </c>
      <c r="AC62" s="170"/>
      <c r="AD62" s="174">
        <v>24.3</v>
      </c>
      <c r="AE62" s="174"/>
      <c r="AF62" s="21"/>
      <c r="AG62" s="19"/>
      <c r="AH62" s="21"/>
      <c r="AI62" s="19"/>
      <c r="AJ62" s="21"/>
      <c r="AK62" s="22">
        <f t="shared" ref="AK62:AK80" si="12">SUM(AL62:AT62)</f>
        <v>157.12577612358635</v>
      </c>
      <c r="AL62" s="30"/>
      <c r="AM62" s="20"/>
      <c r="AN62" s="20"/>
      <c r="AO62" s="20"/>
      <c r="AP62" s="20"/>
      <c r="AQ62" s="20"/>
      <c r="AR62" s="20"/>
      <c r="AS62" s="20"/>
      <c r="AT62" s="21">
        <f>AA62*AD62/100</f>
        <v>157.12577612358635</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f t="shared" ref="AA63:AA66" si="13">SUM(A63:Z63)</f>
        <v>0</v>
      </c>
      <c r="AB63" s="128" t="s">
        <v>649</v>
      </c>
      <c r="AC63" s="170"/>
      <c r="AD63" s="174">
        <v>22.6</v>
      </c>
      <c r="AE63" s="174"/>
      <c r="AF63" s="21"/>
      <c r="AG63" s="19"/>
      <c r="AH63" s="21"/>
      <c r="AI63" s="19"/>
      <c r="AJ63" s="21"/>
      <c r="AK63" s="22">
        <f t="shared" si="12"/>
        <v>0</v>
      </c>
      <c r="AL63" s="30"/>
      <c r="AM63" s="20"/>
      <c r="AN63" s="20"/>
      <c r="AO63" s="20"/>
      <c r="AP63" s="20"/>
      <c r="AQ63" s="20"/>
      <c r="AR63" s="20"/>
      <c r="AS63" s="20"/>
      <c r="AT63" s="21">
        <f>AA63*AD63/100</f>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f t="shared" si="13"/>
        <v>0</v>
      </c>
      <c r="AB64" s="129" t="s">
        <v>650</v>
      </c>
      <c r="AC64" s="170">
        <v>67.7</v>
      </c>
      <c r="AD64" s="174"/>
      <c r="AE64" s="174"/>
      <c r="AF64" s="21"/>
      <c r="AG64" s="19">
        <f t="shared" ref="AG64:AG65" si="14">-AH64/$D$2%</f>
        <v>-7.1568785992784613E-3</v>
      </c>
      <c r="AH64" s="153">
        <v>6.5900538142156066E-3</v>
      </c>
      <c r="AI64" s="19"/>
      <c r="AJ64" s="21"/>
      <c r="AK64" s="22">
        <f t="shared" ref="AK64" si="15">SUM(AL64:AT64)</f>
        <v>4.4614664322239657E-3</v>
      </c>
      <c r="AL64" s="30"/>
      <c r="AM64" s="20"/>
      <c r="AN64" s="20"/>
      <c r="AO64" s="20"/>
      <c r="AP64" s="20"/>
      <c r="AQ64" s="20"/>
      <c r="AR64" s="20"/>
      <c r="AS64" s="20"/>
      <c r="AT64" s="21">
        <f>AH64*AC64%</f>
        <v>4.4614664322239657E-3</v>
      </c>
    </row>
    <row r="65" spans="1:46" ht="15" customHeight="1" x14ac:dyDescent="0.2">
      <c r="A65" s="19"/>
      <c r="B65" s="20"/>
      <c r="C65" s="20"/>
      <c r="D65" s="20"/>
      <c r="E65" s="20"/>
      <c r="F65" s="153"/>
      <c r="G65" s="172"/>
      <c r="H65" s="172">
        <f>AA65-S65</f>
        <v>0</v>
      </c>
      <c r="I65" s="172"/>
      <c r="J65" s="172"/>
      <c r="K65" s="172"/>
      <c r="L65" s="172"/>
      <c r="M65" s="172"/>
      <c r="N65" s="172"/>
      <c r="O65" s="172"/>
      <c r="P65" s="172"/>
      <c r="Q65" s="172"/>
      <c r="R65" s="172"/>
      <c r="S65" s="153">
        <f>AA65*3.7%</f>
        <v>0</v>
      </c>
      <c r="T65" s="174"/>
      <c r="U65" s="20"/>
      <c r="V65" s="20"/>
      <c r="W65" s="20"/>
      <c r="X65" s="20"/>
      <c r="Y65" s="20"/>
      <c r="Z65" s="20"/>
      <c r="AA65" s="153">
        <v>0</v>
      </c>
      <c r="AB65" s="130" t="s">
        <v>645</v>
      </c>
      <c r="AC65" s="170">
        <f>AC64</f>
        <v>67.7</v>
      </c>
      <c r="AD65" s="174">
        <v>19</v>
      </c>
      <c r="AE65" s="174"/>
      <c r="AF65" s="21"/>
      <c r="AG65" s="19">
        <f t="shared" si="14"/>
        <v>0</v>
      </c>
      <c r="AH65" s="153">
        <f>AA65*AD65%/AC65%</f>
        <v>0</v>
      </c>
      <c r="AI65" s="19"/>
      <c r="AJ65" s="21"/>
      <c r="AK65" s="22">
        <f t="shared" si="12"/>
        <v>0</v>
      </c>
      <c r="AL65" s="30"/>
      <c r="AM65" s="20"/>
      <c r="AN65" s="20"/>
      <c r="AO65" s="20"/>
      <c r="AP65" s="20"/>
      <c r="AQ65" s="20"/>
      <c r="AR65" s="20"/>
      <c r="AS65" s="20"/>
      <c r="AT65" s="21">
        <f>AH65*AC65%+AA65*AD65%</f>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f t="shared" si="13"/>
        <v>0</v>
      </c>
      <c r="AB66" s="128" t="s">
        <v>644</v>
      </c>
      <c r="AC66" s="170"/>
      <c r="AD66" s="174">
        <v>36.4</v>
      </c>
      <c r="AE66" s="174"/>
      <c r="AF66" s="21"/>
      <c r="AG66" s="19"/>
      <c r="AH66" s="21"/>
      <c r="AI66" s="19"/>
      <c r="AJ66" s="21"/>
      <c r="AK66" s="22">
        <f t="shared" si="12"/>
        <v>0</v>
      </c>
      <c r="AL66" s="30"/>
      <c r="AM66" s="20"/>
      <c r="AN66" s="20"/>
      <c r="AO66" s="20"/>
      <c r="AP66" s="20"/>
      <c r="AQ66" s="20"/>
      <c r="AR66" s="20"/>
      <c r="AS66" s="20"/>
      <c r="AT66" s="21">
        <f>AA66*AD66%</f>
        <v>0</v>
      </c>
    </row>
    <row r="67" spans="1:46" ht="15" customHeight="1" x14ac:dyDescent="0.2">
      <c r="A67" s="19"/>
      <c r="B67" s="20"/>
      <c r="C67" s="20"/>
      <c r="D67" s="20"/>
      <c r="E67" s="20"/>
      <c r="F67" s="153">
        <f>AA67-S67</f>
        <v>49.285718121298387</v>
      </c>
      <c r="G67" s="172"/>
      <c r="H67" s="172"/>
      <c r="I67" s="172"/>
      <c r="J67" s="172"/>
      <c r="K67" s="172"/>
      <c r="L67" s="172"/>
      <c r="M67" s="172"/>
      <c r="N67" s="172"/>
      <c r="O67" s="172"/>
      <c r="P67" s="172"/>
      <c r="Q67" s="172"/>
      <c r="R67" s="172"/>
      <c r="S67" s="153">
        <f>AA67*3.7%</f>
        <v>1.8936361064257949</v>
      </c>
      <c r="T67" s="174"/>
      <c r="U67" s="20"/>
      <c r="V67" s="20"/>
      <c r="W67" s="20"/>
      <c r="X67" s="20"/>
      <c r="Y67" s="20"/>
      <c r="Z67" s="20"/>
      <c r="AA67" s="153">
        <v>51.179354227724183</v>
      </c>
      <c r="AB67" s="131" t="s">
        <v>206</v>
      </c>
      <c r="AC67" s="170"/>
      <c r="AD67" s="174">
        <v>29.6</v>
      </c>
      <c r="AE67" s="174"/>
      <c r="AF67" s="21"/>
      <c r="AG67" s="19">
        <f>-AH67/$D$2%</f>
        <v>0</v>
      </c>
      <c r="AH67" s="21"/>
      <c r="AI67" s="19"/>
      <c r="AJ67" s="21"/>
      <c r="AK67" s="22">
        <f t="shared" si="12"/>
        <v>15.14908885140636</v>
      </c>
      <c r="AL67" s="30"/>
      <c r="AM67" s="20"/>
      <c r="AN67" s="20"/>
      <c r="AO67" s="20"/>
      <c r="AP67" s="20"/>
      <c r="AQ67" s="20"/>
      <c r="AR67" s="20"/>
      <c r="AS67" s="20"/>
      <c r="AT67" s="21">
        <f>AA67*AD67%</f>
        <v>15.14908885140636</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f t="shared" ref="AA68:AA70" si="16">SUM(A68:Z68)</f>
        <v>0</v>
      </c>
      <c r="AB68" s="676" t="s">
        <v>640</v>
      </c>
      <c r="AC68" s="170"/>
      <c r="AD68" s="174">
        <v>26.1</v>
      </c>
      <c r="AE68" s="174"/>
      <c r="AF68" s="21"/>
      <c r="AG68" s="19"/>
      <c r="AH68" s="21"/>
      <c r="AI68" s="19"/>
      <c r="AJ68" s="21"/>
      <c r="AK68" s="22">
        <f t="shared" si="12"/>
        <v>0</v>
      </c>
      <c r="AL68" s="30"/>
      <c r="AM68" s="20"/>
      <c r="AN68" s="20"/>
      <c r="AO68" s="20"/>
      <c r="AP68" s="20"/>
      <c r="AQ68" s="20"/>
      <c r="AR68" s="20"/>
      <c r="AS68" s="20"/>
      <c r="AT68" s="21">
        <f>AA68*AD68%</f>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f t="shared" si="16"/>
        <v>0</v>
      </c>
      <c r="AB69" s="676" t="s">
        <v>641</v>
      </c>
      <c r="AC69" s="170"/>
      <c r="AD69" s="174">
        <v>36.4</v>
      </c>
      <c r="AE69" s="174"/>
      <c r="AF69" s="21"/>
      <c r="AG69" s="19"/>
      <c r="AH69" s="21"/>
      <c r="AI69" s="19"/>
      <c r="AJ69" s="21"/>
      <c r="AK69" s="22">
        <f t="shared" si="12"/>
        <v>0</v>
      </c>
      <c r="AL69" s="30"/>
      <c r="AM69" s="20"/>
      <c r="AN69" s="20"/>
      <c r="AO69" s="20"/>
      <c r="AP69" s="20"/>
      <c r="AQ69" s="20"/>
      <c r="AR69" s="20"/>
      <c r="AS69" s="20"/>
      <c r="AT69" s="21">
        <f t="shared" ref="AT69" si="17">AA69*AD69%</f>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f t="shared" si="16"/>
        <v>0</v>
      </c>
      <c r="AB70" s="131" t="s">
        <v>651</v>
      </c>
      <c r="AC70" s="170">
        <v>67.7</v>
      </c>
      <c r="AD70" s="174"/>
      <c r="AE70" s="174"/>
      <c r="AF70" s="21"/>
      <c r="AG70" s="19">
        <f t="shared" ref="AG70" si="18">-AH70/$D$2%</f>
        <v>0</v>
      </c>
      <c r="AH70" s="153"/>
      <c r="AI70" s="19"/>
      <c r="AJ70" s="21"/>
      <c r="AK70" s="22">
        <f t="shared" ref="AK70:AK79" si="19">SUM(AL70:AT70)</f>
        <v>0</v>
      </c>
      <c r="AL70" s="30"/>
      <c r="AM70" s="20"/>
      <c r="AN70" s="20"/>
      <c r="AO70" s="20"/>
      <c r="AP70" s="20"/>
      <c r="AQ70" s="20"/>
      <c r="AR70" s="20"/>
      <c r="AS70" s="20"/>
      <c r="AT70" s="21">
        <f>AH70*AC70%</f>
        <v>0</v>
      </c>
    </row>
    <row r="71" spans="1:46" ht="15" customHeight="1" x14ac:dyDescent="0.2">
      <c r="A71" s="19"/>
      <c r="B71" s="20"/>
      <c r="C71" s="20"/>
      <c r="D71" s="20"/>
      <c r="E71" s="20"/>
      <c r="F71" s="153">
        <f>AA71-S71</f>
        <v>573.18500667634601</v>
      </c>
      <c r="G71" s="172"/>
      <c r="H71" s="172"/>
      <c r="I71" s="172"/>
      <c r="J71" s="172"/>
      <c r="K71" s="172"/>
      <c r="L71" s="172"/>
      <c r="M71" s="172"/>
      <c r="N71" s="172"/>
      <c r="O71" s="172"/>
      <c r="P71" s="172"/>
      <c r="Q71" s="172"/>
      <c r="R71" s="172"/>
      <c r="S71" s="153">
        <f>AA71*3.7%</f>
        <v>22.022684576349747</v>
      </c>
      <c r="T71" s="174"/>
      <c r="U71" s="20"/>
      <c r="V71" s="20"/>
      <c r="W71" s="20"/>
      <c r="X71" s="20"/>
      <c r="Y71" s="20"/>
      <c r="Z71" s="20"/>
      <c r="AA71" s="697">
        <v>595.20769125269578</v>
      </c>
      <c r="AB71" s="131" t="s">
        <v>207</v>
      </c>
      <c r="AC71" s="170"/>
      <c r="AD71" s="174">
        <v>36.5</v>
      </c>
      <c r="AE71" s="174"/>
      <c r="AF71" s="21"/>
      <c r="AG71" s="19"/>
      <c r="AH71" s="169"/>
      <c r="AI71" s="19"/>
      <c r="AJ71" s="21"/>
      <c r="AK71" s="22">
        <f t="shared" si="19"/>
        <v>217.25080730723394</v>
      </c>
      <c r="AL71" s="30"/>
      <c r="AM71" s="20"/>
      <c r="AN71" s="20"/>
      <c r="AO71" s="20"/>
      <c r="AP71" s="20"/>
      <c r="AQ71" s="20"/>
      <c r="AR71" s="20"/>
      <c r="AS71" s="20"/>
      <c r="AT71" s="21">
        <f>AA71*AD71%</f>
        <v>217.25080730723394</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f t="shared" ref="AA72:AA74" si="20">SUM(A72:Z72)</f>
        <v>0</v>
      </c>
      <c r="AB72" s="676" t="s">
        <v>642</v>
      </c>
      <c r="AC72" s="170"/>
      <c r="AD72" s="174">
        <v>32.200000000000003</v>
      </c>
      <c r="AE72" s="174"/>
      <c r="AF72" s="21"/>
      <c r="AG72" s="19"/>
      <c r="AH72" s="169"/>
      <c r="AI72" s="19"/>
      <c r="AJ72" s="21"/>
      <c r="AK72" s="22">
        <f t="shared" si="19"/>
        <v>0</v>
      </c>
      <c r="AL72" s="30"/>
      <c r="AM72" s="20"/>
      <c r="AN72" s="20"/>
      <c r="AO72" s="20"/>
      <c r="AP72" s="20"/>
      <c r="AQ72" s="20"/>
      <c r="AR72" s="20"/>
      <c r="AS72" s="20"/>
      <c r="AT72" s="21">
        <f>AA72*AD72%</f>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f t="shared" si="20"/>
        <v>0</v>
      </c>
      <c r="AB73" s="676" t="s">
        <v>643</v>
      </c>
      <c r="AC73" s="170"/>
      <c r="AD73" s="174">
        <v>36.4</v>
      </c>
      <c r="AE73" s="174"/>
      <c r="AF73" s="21"/>
      <c r="AG73" s="19"/>
      <c r="AH73" s="169"/>
      <c r="AI73" s="19"/>
      <c r="AJ73" s="21"/>
      <c r="AK73" s="22">
        <f t="shared" si="19"/>
        <v>0</v>
      </c>
      <c r="AL73" s="30"/>
      <c r="AM73" s="20"/>
      <c r="AN73" s="20"/>
      <c r="AO73" s="20"/>
      <c r="AP73" s="20"/>
      <c r="AQ73" s="20"/>
      <c r="AR73" s="20"/>
      <c r="AS73" s="20"/>
      <c r="AT73" s="21">
        <f t="shared" ref="AT73" si="21">AA73*AD73%</f>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f t="shared" si="20"/>
        <v>0</v>
      </c>
      <c r="AB74" s="131" t="s">
        <v>652</v>
      </c>
      <c r="AC74" s="170">
        <f>AC70</f>
        <v>67.7</v>
      </c>
      <c r="AD74" s="174"/>
      <c r="AE74" s="174"/>
      <c r="AF74" s="21"/>
      <c r="AG74" s="19">
        <f t="shared" ref="AG74" si="22">-AH74/$D$2%</f>
        <v>0</v>
      </c>
      <c r="AH74" s="153"/>
      <c r="AI74" s="19"/>
      <c r="AJ74" s="21"/>
      <c r="AK74" s="22">
        <f t="shared" si="19"/>
        <v>0</v>
      </c>
      <c r="AL74" s="30"/>
      <c r="AM74" s="20"/>
      <c r="AN74" s="20"/>
      <c r="AO74" s="20"/>
      <c r="AP74" s="20"/>
      <c r="AQ74" s="20"/>
      <c r="AR74" s="20"/>
      <c r="AS74" s="20"/>
      <c r="AT74" s="21">
        <f>AH74*AC74%</f>
        <v>0</v>
      </c>
    </row>
    <row r="75" spans="1:46" ht="15" customHeight="1" x14ac:dyDescent="0.2">
      <c r="A75" s="19"/>
      <c r="B75" s="20"/>
      <c r="C75" s="20"/>
      <c r="D75" s="20"/>
      <c r="E75" s="20"/>
      <c r="F75" s="153">
        <v>263.011904755675</v>
      </c>
      <c r="G75" s="2"/>
      <c r="H75" s="2"/>
      <c r="I75" s="2"/>
      <c r="J75" s="2"/>
      <c r="K75" s="2"/>
      <c r="L75" s="2"/>
      <c r="M75" s="2"/>
      <c r="N75" s="2"/>
      <c r="O75" s="2"/>
      <c r="P75" s="2"/>
      <c r="Q75" s="2"/>
      <c r="R75" s="2"/>
      <c r="S75" s="153"/>
      <c r="T75" s="20"/>
      <c r="U75" s="20"/>
      <c r="V75" s="20"/>
      <c r="W75" s="20"/>
      <c r="X75" s="20"/>
      <c r="Y75" s="20"/>
      <c r="Z75" s="20"/>
      <c r="AA75" s="29">
        <f t="shared" si="0"/>
        <v>263.011904755675</v>
      </c>
      <c r="AB75" s="131" t="s">
        <v>208</v>
      </c>
      <c r="AC75" s="170"/>
      <c r="AD75" s="174">
        <v>36.5</v>
      </c>
      <c r="AE75" s="20"/>
      <c r="AF75" s="21"/>
      <c r="AG75" s="19"/>
      <c r="AH75" s="21"/>
      <c r="AI75" s="19"/>
      <c r="AJ75" s="21"/>
      <c r="AK75" s="22">
        <f t="shared" si="19"/>
        <v>95.99934523582138</v>
      </c>
      <c r="AL75" s="30"/>
      <c r="AM75" s="20"/>
      <c r="AN75" s="20"/>
      <c r="AO75" s="20"/>
      <c r="AP75" s="20"/>
      <c r="AQ75" s="20"/>
      <c r="AR75" s="20"/>
      <c r="AS75" s="20">
        <f>AA75*AD75%</f>
        <v>95.99934523582138</v>
      </c>
      <c r="AT75" s="21"/>
    </row>
    <row r="76" spans="1:46" ht="15" customHeight="1" x14ac:dyDescent="0.2">
      <c r="A76" s="19"/>
      <c r="B76" s="20"/>
      <c r="C76" s="20"/>
      <c r="D76" s="20"/>
      <c r="E76" s="20"/>
      <c r="F76" s="153">
        <f>AA76-S76</f>
        <v>0</v>
      </c>
      <c r="G76" s="2"/>
      <c r="H76" s="2"/>
      <c r="I76" s="2"/>
      <c r="J76" s="2"/>
      <c r="K76" s="2"/>
      <c r="L76" s="2"/>
      <c r="M76" s="2"/>
      <c r="N76" s="2"/>
      <c r="O76" s="2"/>
      <c r="P76" s="2"/>
      <c r="Q76" s="2"/>
      <c r="R76" s="2"/>
      <c r="S76" s="153">
        <f>AA76*3.429%</f>
        <v>0</v>
      </c>
      <c r="T76" s="20"/>
      <c r="U76" s="20"/>
      <c r="V76" s="20"/>
      <c r="W76" s="20"/>
      <c r="X76" s="20"/>
      <c r="Y76" s="20"/>
      <c r="Z76" s="20"/>
      <c r="AA76" s="25"/>
      <c r="AB76" s="676" t="s">
        <v>671</v>
      </c>
      <c r="AC76" s="170"/>
      <c r="AD76" s="174">
        <v>12</v>
      </c>
      <c r="AE76" s="20"/>
      <c r="AF76" s="21"/>
      <c r="AG76" s="19"/>
      <c r="AH76" s="21"/>
      <c r="AI76" s="19"/>
      <c r="AJ76" s="21"/>
      <c r="AK76" s="22">
        <f t="shared" si="19"/>
        <v>0</v>
      </c>
      <c r="AL76" s="30"/>
      <c r="AM76" s="20"/>
      <c r="AN76" s="20"/>
      <c r="AO76" s="20"/>
      <c r="AP76" s="20"/>
      <c r="AQ76" s="20"/>
      <c r="AR76" s="20"/>
      <c r="AS76" s="20"/>
      <c r="AT76" s="21">
        <f>AA76*AD76%</f>
        <v>0</v>
      </c>
    </row>
    <row r="77" spans="1:46" ht="15" customHeight="1" x14ac:dyDescent="0.2">
      <c r="A77" s="19"/>
      <c r="B77" s="20"/>
      <c r="C77" s="20"/>
      <c r="D77" s="20"/>
      <c r="E77" s="20"/>
      <c r="F77" s="153">
        <f>AA77-S77</f>
        <v>28.102161000000002</v>
      </c>
      <c r="G77" s="172"/>
      <c r="H77" s="172"/>
      <c r="I77" s="172"/>
      <c r="J77" s="2"/>
      <c r="K77" s="2"/>
      <c r="L77" s="2"/>
      <c r="M77" s="172"/>
      <c r="N77" s="172"/>
      <c r="O77" s="172"/>
      <c r="P77" s="172"/>
      <c r="Q77" s="172"/>
      <c r="R77" s="172"/>
      <c r="S77" s="153">
        <f>AA77*3.429%</f>
        <v>0.99783900000000003</v>
      </c>
      <c r="T77" s="20"/>
      <c r="U77" s="20"/>
      <c r="V77" s="20"/>
      <c r="W77" s="20"/>
      <c r="X77" s="20"/>
      <c r="Y77" s="20"/>
      <c r="Z77" s="20"/>
      <c r="AA77" s="25">
        <v>29.1</v>
      </c>
      <c r="AB77" s="676" t="s">
        <v>672</v>
      </c>
      <c r="AC77" s="170"/>
      <c r="AD77" s="174">
        <v>25</v>
      </c>
      <c r="AE77" s="20"/>
      <c r="AF77" s="21"/>
      <c r="AG77" s="19"/>
      <c r="AH77" s="21"/>
      <c r="AI77" s="19"/>
      <c r="AJ77" s="21"/>
      <c r="AK77" s="22">
        <f t="shared" si="19"/>
        <v>7.2750000000000004</v>
      </c>
      <c r="AL77" s="30"/>
      <c r="AM77" s="20"/>
      <c r="AN77" s="20"/>
      <c r="AO77" s="20"/>
      <c r="AP77" s="20"/>
      <c r="AQ77" s="20"/>
      <c r="AR77" s="20"/>
      <c r="AS77" s="20"/>
      <c r="AT77" s="21">
        <f>AA77*AD77%</f>
        <v>7.2750000000000004</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f>SUM(A78:Z78)</f>
        <v>0</v>
      </c>
      <c r="AB78" s="676" t="s">
        <v>673</v>
      </c>
      <c r="AC78" s="687">
        <v>67</v>
      </c>
      <c r="AD78" s="174"/>
      <c r="AE78" s="39"/>
      <c r="AF78" s="41"/>
      <c r="AG78" s="19">
        <f t="shared" ref="AG78" si="23">-AH78/$D$2%</f>
        <v>0</v>
      </c>
      <c r="AH78" s="701">
        <v>0</v>
      </c>
      <c r="AI78" s="38"/>
      <c r="AJ78" s="41"/>
      <c r="AK78" s="22">
        <f t="shared" si="19"/>
        <v>0</v>
      </c>
      <c r="AL78" s="42"/>
      <c r="AM78" s="39"/>
      <c r="AN78" s="39"/>
      <c r="AO78" s="39"/>
      <c r="AP78" s="39"/>
      <c r="AQ78" s="39"/>
      <c r="AR78" s="39"/>
      <c r="AS78" s="39"/>
      <c r="AT78" s="21">
        <f>AC78*AH78%</f>
        <v>0</v>
      </c>
    </row>
    <row r="79" spans="1:46" ht="15" customHeight="1" x14ac:dyDescent="0.2">
      <c r="A79" s="38"/>
      <c r="B79" s="39"/>
      <c r="C79" s="39"/>
      <c r="D79" s="184"/>
      <c r="E79" s="184"/>
      <c r="F79" s="184"/>
      <c r="G79" s="154">
        <v>329.5</v>
      </c>
      <c r="H79" s="153">
        <v>0.6</v>
      </c>
      <c r="I79" s="184"/>
      <c r="J79" s="40"/>
      <c r="K79" s="40"/>
      <c r="L79" s="40"/>
      <c r="M79" s="184"/>
      <c r="N79" s="39"/>
      <c r="O79" s="39"/>
      <c r="P79" s="39"/>
      <c r="Q79" s="39"/>
      <c r="R79" s="39"/>
      <c r="S79" s="39"/>
      <c r="T79" s="39"/>
      <c r="U79" s="39"/>
      <c r="V79" s="39"/>
      <c r="W79" s="39"/>
      <c r="X79" s="39"/>
      <c r="Y79" s="39"/>
      <c r="Z79" s="39"/>
      <c r="AA79" s="21">
        <f>SUM(A79:Z79)</f>
        <v>330.1</v>
      </c>
      <c r="AB79" s="131" t="s">
        <v>9</v>
      </c>
      <c r="AC79" s="687"/>
      <c r="AD79" s="174">
        <v>13.5</v>
      </c>
      <c r="AE79" s="39"/>
      <c r="AF79" s="41"/>
      <c r="AG79" s="38"/>
      <c r="AH79" s="41"/>
      <c r="AI79" s="38"/>
      <c r="AJ79" s="41"/>
      <c r="AK79" s="22">
        <f t="shared" si="19"/>
        <v>44.563500000000005</v>
      </c>
      <c r="AL79" s="42"/>
      <c r="AM79" s="39"/>
      <c r="AN79" s="39"/>
      <c r="AO79" s="39"/>
      <c r="AP79" s="39"/>
      <c r="AQ79" s="39"/>
      <c r="AR79" s="39"/>
      <c r="AS79" s="39"/>
      <c r="AT79" s="21">
        <f>AD79*AA79%</f>
        <v>44.563500000000005</v>
      </c>
    </row>
    <row r="80" spans="1:46" ht="15" customHeight="1" thickBot="1" x14ac:dyDescent="0.25">
      <c r="A80" s="38"/>
      <c r="B80" s="39"/>
      <c r="C80" s="39"/>
      <c r="D80" s="154">
        <v>6.3</v>
      </c>
      <c r="E80" s="184"/>
      <c r="F80" s="154">
        <v>49</v>
      </c>
      <c r="G80" s="184"/>
      <c r="H80" s="184"/>
      <c r="I80" s="184"/>
      <c r="J80" s="40"/>
      <c r="K80" s="40"/>
      <c r="L80" s="40"/>
      <c r="M80" s="184"/>
      <c r="N80" s="39"/>
      <c r="O80" s="39"/>
      <c r="P80" s="39"/>
      <c r="Q80" s="39"/>
      <c r="R80" s="39"/>
      <c r="S80" s="39"/>
      <c r="T80" s="39"/>
      <c r="U80" s="39"/>
      <c r="V80" s="39"/>
      <c r="W80" s="39"/>
      <c r="X80" s="39"/>
      <c r="Y80" s="39"/>
      <c r="Z80" s="39"/>
      <c r="AA80" s="41">
        <f t="shared" si="0"/>
        <v>55.3</v>
      </c>
      <c r="AB80" s="132" t="s">
        <v>5</v>
      </c>
      <c r="AC80" s="688"/>
      <c r="AD80" s="174">
        <v>20</v>
      </c>
      <c r="AE80" s="44"/>
      <c r="AF80" s="45"/>
      <c r="AG80" s="43"/>
      <c r="AH80" s="45"/>
      <c r="AI80" s="43"/>
      <c r="AJ80" s="45"/>
      <c r="AK80" s="46">
        <f t="shared" si="12"/>
        <v>11.06</v>
      </c>
      <c r="AL80" s="47"/>
      <c r="AM80" s="44"/>
      <c r="AN80" s="44"/>
      <c r="AO80" s="44"/>
      <c r="AP80" s="44"/>
      <c r="AQ80" s="44"/>
      <c r="AR80" s="44"/>
      <c r="AS80" s="44"/>
      <c r="AT80" s="21">
        <f>AA80*AD80%</f>
        <v>11.06</v>
      </c>
    </row>
    <row r="81" spans="1:47" ht="15" customHeight="1" thickBot="1" x14ac:dyDescent="0.25">
      <c r="A81" s="48">
        <f t="shared" ref="A81:AA81" si="24">SUM(A8:A80)</f>
        <v>279.74294406787817</v>
      </c>
      <c r="B81" s="49">
        <f t="shared" si="24"/>
        <v>20.399999999999999</v>
      </c>
      <c r="C81" s="49">
        <f t="shared" si="24"/>
        <v>0</v>
      </c>
      <c r="D81" s="49">
        <f t="shared" si="24"/>
        <v>161.10000000000002</v>
      </c>
      <c r="E81" s="49">
        <f t="shared" si="24"/>
        <v>394.2</v>
      </c>
      <c r="F81" s="49">
        <f t="shared" si="24"/>
        <v>1585.2684218579022</v>
      </c>
      <c r="G81" s="49">
        <f t="shared" si="24"/>
        <v>329.5</v>
      </c>
      <c r="H81" s="49">
        <f t="shared" si="24"/>
        <v>563.7898194749489</v>
      </c>
      <c r="I81" s="49">
        <f t="shared" si="24"/>
        <v>1384.6000000000001</v>
      </c>
      <c r="J81" s="49">
        <f t="shared" si="24"/>
        <v>0</v>
      </c>
      <c r="K81" s="49">
        <f t="shared" si="24"/>
        <v>0</v>
      </c>
      <c r="L81" s="49">
        <f t="shared" si="24"/>
        <v>0</v>
      </c>
      <c r="M81" s="49">
        <f t="shared" si="24"/>
        <v>648.98299999999995</v>
      </c>
      <c r="N81" s="49">
        <f t="shared" si="24"/>
        <v>0</v>
      </c>
      <c r="O81" s="49">
        <f t="shared" si="24"/>
        <v>16.5</v>
      </c>
      <c r="P81" s="49">
        <f t="shared" si="24"/>
        <v>0</v>
      </c>
      <c r="Q81" s="49">
        <f t="shared" si="24"/>
        <v>5.6666666666666661</v>
      </c>
      <c r="R81" s="49">
        <f t="shared" si="24"/>
        <v>29.347999999999999</v>
      </c>
      <c r="S81" s="49">
        <f t="shared" si="24"/>
        <v>158.95608513926723</v>
      </c>
      <c r="T81" s="49">
        <f t="shared" si="24"/>
        <v>101</v>
      </c>
      <c r="U81" s="49">
        <f t="shared" si="24"/>
        <v>819.7</v>
      </c>
      <c r="V81" s="49">
        <f t="shared" si="24"/>
        <v>1000.2</v>
      </c>
      <c r="W81" s="49">
        <f t="shared" si="24"/>
        <v>34.451999999999998</v>
      </c>
      <c r="X81" s="49">
        <f t="shared" si="24"/>
        <v>0</v>
      </c>
      <c r="Y81" s="49">
        <f t="shared" si="24"/>
        <v>3.2</v>
      </c>
      <c r="Z81" s="49">
        <f t="shared" si="24"/>
        <v>0</v>
      </c>
      <c r="AA81" s="50">
        <f t="shared" si="24"/>
        <v>7536.606937206664</v>
      </c>
      <c r="AB81" s="51" t="s">
        <v>1</v>
      </c>
      <c r="AC81" s="52"/>
      <c r="AD81" s="52"/>
      <c r="AE81" s="52"/>
      <c r="AF81" s="52"/>
      <c r="AG81" s="48">
        <f t="shared" ref="AG81:AT81" si="25">SUM(AG8:AG80)</f>
        <v>6.4314005510102135E-14</v>
      </c>
      <c r="AH81" s="50">
        <f t="shared" si="25"/>
        <v>1051.9212239377023</v>
      </c>
      <c r="AI81" s="48">
        <f t="shared" si="25"/>
        <v>0</v>
      </c>
      <c r="AJ81" s="50">
        <f t="shared" si="25"/>
        <v>708.91598099999999</v>
      </c>
      <c r="AK81" s="51">
        <f t="shared" si="25"/>
        <v>4433.4994159697007</v>
      </c>
      <c r="AL81" s="53">
        <f t="shared" si="25"/>
        <v>2003.8710221839151</v>
      </c>
      <c r="AM81" s="49">
        <f t="shared" si="25"/>
        <v>172.05475186238814</v>
      </c>
      <c r="AN81" s="49">
        <f t="shared" si="25"/>
        <v>142.90191951000003</v>
      </c>
      <c r="AO81" s="49">
        <f t="shared" si="25"/>
        <v>164.07656968860002</v>
      </c>
      <c r="AP81" s="49">
        <f t="shared" si="25"/>
        <v>10.176436990800003</v>
      </c>
      <c r="AQ81" s="49">
        <f t="shared" si="25"/>
        <v>1120.4056736015998</v>
      </c>
      <c r="AR81" s="49">
        <f t="shared" si="25"/>
        <v>16.018218084600001</v>
      </c>
      <c r="AS81" s="49">
        <f t="shared" si="25"/>
        <v>236.88641393150127</v>
      </c>
      <c r="AT81" s="50">
        <f t="shared" si="25"/>
        <v>567.10841011629577</v>
      </c>
    </row>
    <row r="82" spans="1:47" ht="15" customHeight="1" x14ac:dyDescent="0.25">
      <c r="A82" s="26">
        <f t="shared" ref="A82:Y82" si="26">A81*A89/1000</f>
        <v>49.240353014827917</v>
      </c>
      <c r="B82" s="28">
        <f t="shared" si="26"/>
        <v>1.3219199999999998</v>
      </c>
      <c r="C82" s="28">
        <f t="shared" si="26"/>
        <v>0</v>
      </c>
      <c r="D82" s="28">
        <f t="shared" si="26"/>
        <v>12.731733000000002</v>
      </c>
      <c r="E82" s="28">
        <f t="shared" si="26"/>
        <v>29.210219999999996</v>
      </c>
      <c r="F82" s="28">
        <f t="shared" si="26"/>
        <v>117.46839005967055</v>
      </c>
      <c r="G82" s="28">
        <f t="shared" si="26"/>
        <v>23.724</v>
      </c>
      <c r="H82" s="28">
        <f t="shared" si="26"/>
        <v>41.15665682167127</v>
      </c>
      <c r="I82" s="28">
        <f t="shared" si="26"/>
        <v>78.880662000000015</v>
      </c>
      <c r="J82" s="27"/>
      <c r="K82" s="27"/>
      <c r="L82" s="27"/>
      <c r="M82" s="28">
        <f t="shared" si="26"/>
        <v>0</v>
      </c>
      <c r="N82" s="28">
        <f t="shared" si="26"/>
        <v>0</v>
      </c>
      <c r="O82" s="28">
        <f t="shared" si="26"/>
        <v>0</v>
      </c>
      <c r="P82" s="28">
        <f t="shared" si="26"/>
        <v>0</v>
      </c>
      <c r="Q82" s="28">
        <v>0</v>
      </c>
      <c r="R82" s="28">
        <f t="shared" si="26"/>
        <v>0</v>
      </c>
      <c r="S82" s="28">
        <f t="shared" si="26"/>
        <v>0</v>
      </c>
      <c r="T82" s="28">
        <f t="shared" si="26"/>
        <v>0</v>
      </c>
      <c r="U82" s="28">
        <f t="shared" si="26"/>
        <v>0</v>
      </c>
      <c r="V82" s="28">
        <f t="shared" si="26"/>
        <v>0</v>
      </c>
      <c r="W82" s="28">
        <f t="shared" si="26"/>
        <v>0</v>
      </c>
      <c r="X82" s="28">
        <f t="shared" si="26"/>
        <v>0</v>
      </c>
      <c r="Y82" s="28">
        <f t="shared" si="26"/>
        <v>0</v>
      </c>
      <c r="Z82" s="28">
        <f>Z81*Z89/1000</f>
        <v>0</v>
      </c>
      <c r="AA82" s="29">
        <f>SUM(A82:Z82)</f>
        <v>353.73393489616973</v>
      </c>
      <c r="AB82" s="54" t="s">
        <v>30</v>
      </c>
      <c r="AC82" s="55">
        <f>AA82*1000/D1</f>
        <v>7.3716070290536768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441</v>
      </c>
      <c r="S83" s="153">
        <v>766</v>
      </c>
      <c r="T83" s="153">
        <v>475</v>
      </c>
      <c r="U83" s="153">
        <v>364.37178342551363</v>
      </c>
      <c r="V83" s="20"/>
      <c r="W83" s="20"/>
      <c r="X83" s="20"/>
      <c r="Y83" s="20"/>
      <c r="Z83" s="20"/>
      <c r="AA83" s="21">
        <f>SUM(A83:Z83)</f>
        <v>2046.3717834255135</v>
      </c>
      <c r="AB83" s="22" t="s">
        <v>653</v>
      </c>
      <c r="AC83" s="677">
        <f>(SUM(M11:Y11)+AG12*A87%+SUM(M16:Y16)+SUM(M17:Y17)+SUM(M18:Y18)+SUM(M19:Y19)+SUM(M22:Y22)+SUM(M61:Y61)+SUM(M62:Y62)+SUM(M63:Y63)+SUM(M65:Y65)+SUM(M66:Y66)+SUM(M67:Y67)+SUM(M68:Y68)+SUM(M69:Y69)+SUM(M71:Y71)+SUM(M72:Y72)+SUM(M73:Y73)+SUM(M75:Y75)+SUM(M76:Y76)+SUM(M77:Y77)+SUM(M79:Y79)+SUM(M80:Y80)+SUM(M23:Y23)*(AC23%+AE23%)+SUM(M24:Y24)*(AC24%+AE24%)+SUM(M25:Y25)*(AC25%+AE25%)+SUM(M26:Y26)*(AC26%+AE26%)+SUM(M28:Y28)*(AC28%+AD28%+AE28%)+SUM(M27:Y27)*(AD27%)+SUM(M29:Y29)*(AC29%+AE29%)+SUM(M30:Y30)*(AC30%+AE30%)+SUM(M31:Y31)*(AC31%+AE31%)+SUM(M34:Y34)*(AC34%+AE34%)+SUM(M35:Y35)*(AC35%+AE35%)+SUM(M37:Y37)*(AC37%+AE37%)+SUM(M38:Y38)*(AC38%+AE38%)+SUM(M39:Y39)*(AC39%+AE39%)+SUM(M41:Y41)*(AC41%+AE41%)+SUM(M42:Y42)*(AC42%+AE42%)+SUM(M44:Y44)*(AC44%+AE44%)+SUM(M45:Y45)*(AC45%+AE45%)+SUM(M46:Y46)*(AC47%+AE47%)+SUM(M48:Y48)*(AC48%+AE48%)+SUM(M49:Y49)*(AC49%+AE49%)+SUM(M50:Y50)*(AC50%+AE50%)+SUM(M52:Y52)*(AC52%+AE52%)+SUM(M53:Y53)*(AC53%+AE53%)+SUM(M54:Y54)*(AC54%+AE54%))/(SUM(AA8:AA11)+SUM(AA13:AA22)+SUM(AA61:AA80)+(AJ33/AF33%+AJ36/AF36%+AJ43/AF43%+AJ51/AF51%+AJ60/AF60%)+AH81+SUM(AH8:AH11)*(1-D2%)+(-AI56))*100</f>
        <v>37.856227317972923</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tr">
        <f>IF(M83&gt;0,M81/M83*100,"")</f>
        <v/>
      </c>
      <c r="N84" s="44" t="str">
        <f t="shared" ref="N84:Z84" si="27">IF(N83&gt;0,N81/N83*100,"")</f>
        <v/>
      </c>
      <c r="O84" s="44" t="str">
        <f t="shared" si="27"/>
        <v/>
      </c>
      <c r="P84" s="44" t="str">
        <f t="shared" si="27"/>
        <v/>
      </c>
      <c r="Q84" s="44" t="str">
        <f t="shared" si="27"/>
        <v/>
      </c>
      <c r="R84" s="44">
        <f t="shared" si="27"/>
        <v>6.654875283446712</v>
      </c>
      <c r="S84" s="44">
        <f t="shared" si="27"/>
        <v>20.751447146118437</v>
      </c>
      <c r="T84" s="44">
        <f t="shared" si="27"/>
        <v>21.263157894736842</v>
      </c>
      <c r="U84" s="44">
        <f t="shared" si="27"/>
        <v>224.96253477529947</v>
      </c>
      <c r="V84" s="44" t="str">
        <f t="shared" si="27"/>
        <v/>
      </c>
      <c r="W84" s="44" t="str">
        <f t="shared" si="27"/>
        <v/>
      </c>
      <c r="X84" s="44" t="str">
        <f t="shared" si="27"/>
        <v/>
      </c>
      <c r="Y84" s="44" t="str">
        <f>IF(Y83&gt;0,Y81/Y83*100,"")</f>
        <v/>
      </c>
      <c r="Z84" s="44" t="str">
        <f t="shared" si="27"/>
        <v/>
      </c>
      <c r="AA84" s="45">
        <f>SUMIF(M83:Z83,"&gt;0",M81:Z81)/SUM(M83:Z83)%</f>
        <v>54.193675563824264</v>
      </c>
      <c r="AB84" s="46" t="s">
        <v>12</v>
      </c>
      <c r="AC84" s="151">
        <f>SUM(M81:Y81)/AA81*100</f>
        <v>37.390907808844645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tr">
        <f t="shared" ref="B86:I86" si="28">B7</f>
        <v xml:space="preserve">  LPG og petroleum</v>
      </c>
      <c r="C86" s="754" t="str">
        <f t="shared" si="28"/>
        <v xml:space="preserve">  Kul</v>
      </c>
      <c r="D86" s="754" t="str">
        <f t="shared" si="28"/>
        <v xml:space="preserve">  Fuelolie</v>
      </c>
      <c r="E86" s="754" t="str">
        <f t="shared" si="28"/>
        <v xml:space="preserve">  Brændselsolie</v>
      </c>
      <c r="F86" s="754" t="str">
        <f t="shared" si="28"/>
        <v xml:space="preserve">  Dieselolie</v>
      </c>
      <c r="G86" s="754" t="str">
        <f t="shared" si="28"/>
        <v xml:space="preserve">  JP1</v>
      </c>
      <c r="H86" s="754" t="str">
        <f t="shared" si="28"/>
        <v xml:space="preserve">  Benzin</v>
      </c>
      <c r="I86" s="754" t="str">
        <f t="shared" si="28"/>
        <v xml:space="preserve">  Naturgas</v>
      </c>
      <c r="J86" s="673"/>
      <c r="K86" s="673"/>
      <c r="L86" s="673"/>
      <c r="M86" s="754" t="str">
        <f t="shared" ref="M86:Z86" si="29">M7</f>
        <v xml:space="preserve">  Vindenergi</v>
      </c>
      <c r="N86" s="754" t="str">
        <f t="shared" si="29"/>
        <v xml:space="preserve">  Vandenergi</v>
      </c>
      <c r="O86" s="754" t="str">
        <f t="shared" si="29"/>
        <v xml:space="preserve">  Solenergi</v>
      </c>
      <c r="P86" s="754" t="str">
        <f t="shared" si="29"/>
        <v xml:space="preserve">  Geotermi</v>
      </c>
      <c r="Q86" s="754" t="str">
        <f t="shared" si="29"/>
        <v xml:space="preserve">  Varmekilder til varmepumper</v>
      </c>
      <c r="R86" s="754" t="str">
        <f t="shared" si="29"/>
        <v xml:space="preserve">  Husdyrsgødning</v>
      </c>
      <c r="S86" s="754" t="str">
        <f t="shared" si="29"/>
        <v xml:space="preserve">  Biobrændstof og energiafgrøder</v>
      </c>
      <c r="T86" s="754" t="str">
        <f t="shared" si="29"/>
        <v xml:space="preserve">  Halm</v>
      </c>
      <c r="U86" s="754" t="str">
        <f t="shared" si="29"/>
        <v xml:space="preserve">  Brænde og træflis</v>
      </c>
      <c r="V86" s="754" t="str">
        <f t="shared" si="29"/>
        <v xml:space="preserve">  Træpiller og træaffald</v>
      </c>
      <c r="W86" s="754" t="str">
        <f t="shared" si="29"/>
        <v xml:space="preserve">  Organisk affald, industri</v>
      </c>
      <c r="X86" s="754" t="str">
        <f t="shared" si="29"/>
        <v xml:space="preserve">  Organisk affald, husholdninger</v>
      </c>
      <c r="Y86" s="754" t="str">
        <f t="shared" si="29"/>
        <v xml:space="preserve">  Deponi, slam, renseanlæg</v>
      </c>
      <c r="Z86" s="757" t="str">
        <f t="shared" si="29"/>
        <v xml:space="preserve">  Affald, ikke bionedbrydeligt</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29</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176.02</v>
      </c>
      <c r="B89" s="186">
        <v>64.8</v>
      </c>
      <c r="C89" s="186">
        <v>94.2</v>
      </c>
      <c r="D89" s="186">
        <v>79.03</v>
      </c>
      <c r="E89" s="186">
        <v>74.099999999999994</v>
      </c>
      <c r="F89" s="186">
        <f>E89</f>
        <v>74.099999999999994</v>
      </c>
      <c r="G89" s="186">
        <v>72</v>
      </c>
      <c r="H89" s="186">
        <v>73</v>
      </c>
      <c r="I89" s="59">
        <v>56.97</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AB1:AB2"/>
    <mergeCell ref="AB3:AB4"/>
    <mergeCell ref="A6:AA6"/>
    <mergeCell ref="AC6:AF6"/>
    <mergeCell ref="AG6:AH6"/>
    <mergeCell ref="D1:E1"/>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9">
    <tabColor theme="3" tint="0.59999389629810485"/>
    <pageSetUpPr fitToPage="1"/>
  </sheetPr>
  <dimension ref="A1:AY95"/>
  <sheetViews>
    <sheetView showGridLines="0" showZeros="0" zoomScale="85" zoomScaleNormal="85" workbookViewId="0">
      <selection activeCell="G5" sqref="G5"/>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61">
        <v>48300</v>
      </c>
      <c r="E1" s="762"/>
      <c r="F1" s="10"/>
      <c r="G1" s="10"/>
      <c r="H1" s="10"/>
      <c r="I1" s="10"/>
      <c r="J1" s="34"/>
      <c r="K1" s="34"/>
      <c r="L1" s="34"/>
      <c r="N1" s="10"/>
      <c r="O1" s="10"/>
      <c r="P1" s="10"/>
      <c r="Q1" s="10"/>
      <c r="R1" s="10"/>
      <c r="S1" s="10"/>
      <c r="T1" s="10"/>
      <c r="U1" s="10"/>
      <c r="V1" s="10"/>
      <c r="W1" s="10"/>
      <c r="X1" s="10"/>
      <c r="Y1" s="11"/>
      <c r="Z1" s="11"/>
      <c r="AA1" s="11"/>
      <c r="AB1" s="763"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92.88</v>
      </c>
      <c r="E2" s="161" t="s">
        <v>18</v>
      </c>
      <c r="F2" s="10"/>
      <c r="G2" s="10"/>
      <c r="H2" s="162"/>
      <c r="I2" s="10"/>
      <c r="J2" s="34"/>
      <c r="K2" s="34"/>
      <c r="L2" s="34"/>
      <c r="M2" s="10"/>
      <c r="N2" s="10"/>
      <c r="O2" s="10"/>
      <c r="P2" s="10"/>
      <c r="Q2" s="10"/>
      <c r="R2" s="10"/>
      <c r="S2" s="10"/>
      <c r="T2" s="10"/>
      <c r="U2" s="10"/>
      <c r="V2" s="10"/>
      <c r="W2" s="10"/>
      <c r="X2" s="10"/>
      <c r="Y2" s="11"/>
      <c r="Z2" s="11"/>
      <c r="AA2" s="11"/>
      <c r="AB2" s="763"/>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4"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4"/>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630</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f t="shared" ref="AA8:AA80" si="0">SUM(A8:Z8)</f>
        <v>0</v>
      </c>
      <c r="AB8" s="128" t="s">
        <v>183</v>
      </c>
      <c r="AC8" s="19"/>
      <c r="AD8" s="24">
        <v>85.621445715059863</v>
      </c>
      <c r="AE8" s="20"/>
      <c r="AF8" s="21"/>
      <c r="AG8" s="19">
        <f t="shared" ref="AG8:AG11" si="1">-AH8/$D$2%</f>
        <v>-1107.5644096459964</v>
      </c>
      <c r="AH8" s="25">
        <f>AK8/AD8%</f>
        <v>1028.7058236792013</v>
      </c>
      <c r="AI8" s="33"/>
      <c r="AJ8" s="25"/>
      <c r="AK8" s="158">
        <f t="shared" ref="AK8:AK11" si="2">SUM(AL8:AT8)</f>
        <v>880.79279838914681</v>
      </c>
      <c r="AL8" s="153">
        <v>229.15237472637676</v>
      </c>
      <c r="AM8" s="153">
        <v>101.93814430743599</v>
      </c>
      <c r="AN8" s="153">
        <v>51.677553777300005</v>
      </c>
      <c r="AO8" s="153">
        <v>106.328608942158</v>
      </c>
      <c r="AP8" s="153">
        <v>9.3667586241959988</v>
      </c>
      <c r="AQ8" s="153">
        <v>239.8683403197</v>
      </c>
      <c r="AR8" s="153">
        <v>5.9884411424399993</v>
      </c>
      <c r="AS8" s="153">
        <v>136.24257654953999</v>
      </c>
      <c r="AT8" s="8">
        <v>0.23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f t="shared" si="0"/>
        <v>0</v>
      </c>
      <c r="AB9" s="128" t="s">
        <v>2</v>
      </c>
      <c r="AC9" s="19"/>
      <c r="AD9" s="20"/>
      <c r="AE9" s="20">
        <v>90</v>
      </c>
      <c r="AF9" s="21"/>
      <c r="AG9" s="19">
        <f t="shared" si="1"/>
        <v>-6.3856379106649239</v>
      </c>
      <c r="AH9" s="25">
        <f>AK9/AE9%</f>
        <v>5.930980491425581</v>
      </c>
      <c r="AI9" s="33"/>
      <c r="AJ9" s="25"/>
      <c r="AK9" s="158">
        <f t="shared" si="2"/>
        <v>5.3378824422830231</v>
      </c>
      <c r="AL9" s="157">
        <v>5.3378824422830231</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f t="shared" si="0"/>
        <v>0</v>
      </c>
      <c r="AB10" s="128" t="s">
        <v>3</v>
      </c>
      <c r="AC10" s="19"/>
      <c r="AD10" s="20"/>
      <c r="AE10" s="20">
        <v>100</v>
      </c>
      <c r="AF10" s="21"/>
      <c r="AG10" s="19">
        <f t="shared" si="1"/>
        <v>-27.093349420964028</v>
      </c>
      <c r="AH10" s="25">
        <f>AK10/AE10%</f>
        <v>25.164302942191387</v>
      </c>
      <c r="AI10" s="33"/>
      <c r="AJ10" s="25"/>
      <c r="AK10" s="158">
        <f t="shared" si="2"/>
        <v>25.164302942191387</v>
      </c>
      <c r="AL10" s="157">
        <v>25.164302942191387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f>AK11-AH11</f>
        <v>1.5739539993640701</v>
      </c>
      <c r="R11" s="20"/>
      <c r="S11" s="20"/>
      <c r="T11" s="20"/>
      <c r="U11" s="20"/>
      <c r="V11" s="20"/>
      <c r="W11" s="20"/>
      <c r="X11" s="20"/>
      <c r="Y11" s="20"/>
      <c r="Z11" s="20"/>
      <c r="AA11" s="21">
        <f t="shared" si="0"/>
        <v>1.5739539993640701</v>
      </c>
      <c r="AB11" s="128" t="s">
        <v>23</v>
      </c>
      <c r="AC11" s="19"/>
      <c r="AD11" s="20"/>
      <c r="AE11" s="20">
        <v>300</v>
      </c>
      <c r="AF11" s="21"/>
      <c r="AG11" s="19">
        <f t="shared" si="1"/>
        <v>-0.84730512454999474</v>
      </c>
      <c r="AH11" s="156">
        <f>AK11/AE11%</f>
        <v>0.78697699968203505</v>
      </c>
      <c r="AI11" s="33"/>
      <c r="AJ11" s="25"/>
      <c r="AK11" s="158">
        <f t="shared" si="2"/>
        <v>2.3609309990461051</v>
      </c>
      <c r="AL11" s="699">
        <v>2.3609309990461051</v>
      </c>
      <c r="AM11" s="24"/>
      <c r="AN11" s="24"/>
      <c r="AO11" s="24"/>
      <c r="AP11" s="24"/>
      <c r="AQ11" s="24"/>
      <c r="AR11" s="24"/>
      <c r="AS11" s="24"/>
      <c r="AT11" s="25"/>
    </row>
    <row r="12" spans="1:51" ht="15" customHeight="1" x14ac:dyDescent="0.2">
      <c r="A12" s="155">
        <f>AC12%*AG12</f>
        <v>434.09936210217552</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f t="shared" si="0"/>
        <v>434.09936210217552</v>
      </c>
      <c r="AB12" s="128" t="s">
        <v>10</v>
      </c>
      <c r="AC12" s="19">
        <v>100</v>
      </c>
      <c r="AD12" s="20"/>
      <c r="AE12" s="20"/>
      <c r="AF12" s="21"/>
      <c r="AG12" s="19">
        <f>-SUM(AG13:AG80,AG8:AG11)</f>
        <v>434.09936210217552</v>
      </c>
      <c r="AH12" s="169"/>
      <c r="AI12" s="170"/>
      <c r="AJ12" s="169"/>
      <c r="AK12" s="171">
        <f t="shared" ref="AK12:AK43" si="3">SUM(AL12:AT12)</f>
        <v>0</v>
      </c>
      <c r="AL12" s="170"/>
      <c r="AM12" s="174"/>
      <c r="AN12" s="174"/>
      <c r="AO12" s="174"/>
      <c r="AP12" s="174"/>
      <c r="AQ12" s="174"/>
      <c r="AR12" s="174"/>
      <c r="AS12" s="174"/>
      <c r="AT12" s="169"/>
    </row>
    <row r="13" spans="1:51" ht="15" customHeight="1" x14ac:dyDescent="0.2">
      <c r="A13" s="176"/>
      <c r="B13" s="153">
        <v>21.6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f t="shared" si="0"/>
        <v>21.6</v>
      </c>
      <c r="AB13" s="178" t="s">
        <v>29</v>
      </c>
      <c r="AC13" s="26"/>
      <c r="AD13" s="28"/>
      <c r="AE13" s="177">
        <v>38</v>
      </c>
      <c r="AF13" s="29"/>
      <c r="AG13" s="26"/>
      <c r="AH13" s="29"/>
      <c r="AI13" s="26"/>
      <c r="AJ13" s="29"/>
      <c r="AK13" s="22">
        <f t="shared" si="3"/>
        <v>8.2080000000000002</v>
      </c>
      <c r="AL13" s="188">
        <f>AA13*AE13%*20%</f>
        <v>1.6416000000000002</v>
      </c>
      <c r="AM13" s="179"/>
      <c r="AN13" s="179"/>
      <c r="AO13" s="179"/>
      <c r="AP13" s="179"/>
      <c r="AQ13" s="179">
        <f>AA13*AE13%*60%</f>
        <v>4.9248000000000003</v>
      </c>
      <c r="AR13" s="179"/>
      <c r="AS13" s="179"/>
      <c r="AT13" s="189">
        <f>AA13*AE13%*20%</f>
        <v>1.6416000000000002</v>
      </c>
    </row>
    <row r="14" spans="1:51" ht="15" customHeight="1" x14ac:dyDescent="0.2">
      <c r="A14" s="19"/>
      <c r="B14" s="174"/>
      <c r="C14" s="20"/>
      <c r="D14" s="20"/>
      <c r="E14" s="153">
        <v>479</v>
      </c>
      <c r="F14" s="174"/>
      <c r="G14" s="174"/>
      <c r="H14" s="174"/>
      <c r="I14" s="174"/>
      <c r="J14" s="24"/>
      <c r="K14" s="24"/>
      <c r="L14" s="24"/>
      <c r="M14" s="20"/>
      <c r="N14" s="20"/>
      <c r="O14" s="20"/>
      <c r="P14" s="20"/>
      <c r="Q14" s="174"/>
      <c r="R14" s="174"/>
      <c r="S14" s="174"/>
      <c r="T14" s="174"/>
      <c r="U14" s="174"/>
      <c r="V14" s="174"/>
      <c r="W14" s="174"/>
      <c r="X14" s="174"/>
      <c r="Y14" s="174"/>
      <c r="Z14" s="174"/>
      <c r="AA14" s="21">
        <f t="shared" si="0"/>
        <v>479</v>
      </c>
      <c r="AB14" s="128" t="s">
        <v>215</v>
      </c>
      <c r="AC14" s="19"/>
      <c r="AD14" s="20"/>
      <c r="AE14" s="174">
        <v>80</v>
      </c>
      <c r="AF14" s="21"/>
      <c r="AG14" s="19"/>
      <c r="AH14" s="21"/>
      <c r="AI14" s="19"/>
      <c r="AJ14" s="21"/>
      <c r="AK14" s="22">
        <f t="shared" si="3"/>
        <v>383.20000000000005</v>
      </c>
      <c r="AL14" s="30">
        <f t="shared" ref="AL14:AL19" si="4">AA14*AE14%</f>
        <v>383.20000000000005</v>
      </c>
      <c r="AM14" s="20"/>
      <c r="AN14" s="20"/>
      <c r="AO14" s="20"/>
      <c r="AP14" s="20"/>
      <c r="AQ14" s="20"/>
      <c r="AR14" s="20"/>
      <c r="AS14" s="20"/>
      <c r="AT14" s="21"/>
      <c r="AY14" s="23"/>
    </row>
    <row r="15" spans="1:51" ht="15" customHeight="1" x14ac:dyDescent="0.2">
      <c r="A15" s="19"/>
      <c r="B15" s="174"/>
      <c r="C15" s="20"/>
      <c r="D15" s="20"/>
      <c r="E15" s="174"/>
      <c r="F15" s="174"/>
      <c r="G15" s="174"/>
      <c r="H15" s="174"/>
      <c r="I15" s="153">
        <v>315</v>
      </c>
      <c r="J15" s="153"/>
      <c r="K15" s="153"/>
      <c r="L15" s="153"/>
      <c r="M15" s="20"/>
      <c r="N15" s="20"/>
      <c r="O15" s="20"/>
      <c r="P15" s="20"/>
      <c r="Q15" s="174"/>
      <c r="R15" s="174"/>
      <c r="S15" s="174"/>
      <c r="T15" s="174"/>
      <c r="U15" s="174"/>
      <c r="V15" s="174"/>
      <c r="W15" s="174"/>
      <c r="X15" s="174"/>
      <c r="Y15" s="174"/>
      <c r="Z15" s="174"/>
      <c r="AA15" s="21">
        <f t="shared" si="0"/>
        <v>315</v>
      </c>
      <c r="AB15" s="128" t="s">
        <v>216</v>
      </c>
      <c r="AC15" s="19"/>
      <c r="AD15" s="20"/>
      <c r="AE15" s="174">
        <v>85</v>
      </c>
      <c r="AF15" s="21"/>
      <c r="AG15" s="19"/>
      <c r="AH15" s="21"/>
      <c r="AI15" s="19"/>
      <c r="AJ15" s="21"/>
      <c r="AK15" s="22">
        <f t="shared" si="3"/>
        <v>267.75</v>
      </c>
      <c r="AL15" s="30">
        <f t="shared" si="4"/>
        <v>267.75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429</v>
      </c>
      <c r="W16" s="174"/>
      <c r="X16" s="174"/>
      <c r="Y16" s="174"/>
      <c r="Z16" s="174"/>
      <c r="AA16" s="21">
        <f t="shared" si="0"/>
        <v>429</v>
      </c>
      <c r="AB16" s="128" t="s">
        <v>217</v>
      </c>
      <c r="AC16" s="19"/>
      <c r="AD16" s="20"/>
      <c r="AE16" s="174">
        <v>75</v>
      </c>
      <c r="AF16" s="21"/>
      <c r="AG16" s="19"/>
      <c r="AH16" s="21"/>
      <c r="AI16" s="19"/>
      <c r="AJ16" s="21"/>
      <c r="AK16" s="22">
        <f t="shared" si="3"/>
        <v>321.75</v>
      </c>
      <c r="AL16" s="30">
        <f t="shared" si="4"/>
        <v>321.75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748</v>
      </c>
      <c r="V17" s="2"/>
      <c r="W17" s="174"/>
      <c r="X17" s="174"/>
      <c r="Y17" s="174"/>
      <c r="Z17" s="174"/>
      <c r="AA17" s="21">
        <f t="shared" si="0"/>
        <v>748</v>
      </c>
      <c r="AB17" s="128" t="s">
        <v>218</v>
      </c>
      <c r="AC17" s="19"/>
      <c r="AD17" s="20"/>
      <c r="AE17" s="174">
        <v>65</v>
      </c>
      <c r="AF17" s="21"/>
      <c r="AG17" s="19"/>
      <c r="AH17" s="21"/>
      <c r="AI17" s="19"/>
      <c r="AJ17" s="21"/>
      <c r="AK17" s="22">
        <f t="shared" si="3"/>
        <v>486.2</v>
      </c>
      <c r="AL17" s="30">
        <f t="shared" si="4"/>
        <v>486.2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127</v>
      </c>
      <c r="U18" s="2"/>
      <c r="V18" s="2"/>
      <c r="W18" s="174"/>
      <c r="X18" s="174"/>
      <c r="Y18" s="174"/>
      <c r="Z18" s="174"/>
      <c r="AA18" s="21">
        <f t="shared" si="0"/>
        <v>127</v>
      </c>
      <c r="AB18" s="128" t="s">
        <v>219</v>
      </c>
      <c r="AC18" s="19"/>
      <c r="AD18" s="20"/>
      <c r="AE18" s="174">
        <v>65</v>
      </c>
      <c r="AF18" s="21"/>
      <c r="AG18" s="19"/>
      <c r="AH18" s="21"/>
      <c r="AI18" s="19"/>
      <c r="AJ18" s="21"/>
      <c r="AK18" s="22">
        <f t="shared" si="3"/>
        <v>82.55</v>
      </c>
      <c r="AL18" s="30">
        <f t="shared" si="4"/>
        <v>82.55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6.4</v>
      </c>
      <c r="P19" s="20"/>
      <c r="Q19" s="174"/>
      <c r="R19" s="174"/>
      <c r="S19" s="174"/>
      <c r="T19" s="174"/>
      <c r="U19" s="174"/>
      <c r="V19" s="174"/>
      <c r="W19" s="174"/>
      <c r="X19" s="174"/>
      <c r="Y19" s="174"/>
      <c r="Z19" s="174"/>
      <c r="AA19" s="21">
        <f t="shared" si="0"/>
        <v>6.4</v>
      </c>
      <c r="AB19" s="128" t="s">
        <v>220</v>
      </c>
      <c r="AC19" s="19"/>
      <c r="AD19" s="20"/>
      <c r="AE19" s="20">
        <v>100</v>
      </c>
      <c r="AF19" s="21"/>
      <c r="AG19" s="19"/>
      <c r="AH19" s="21"/>
      <c r="AI19" s="19"/>
      <c r="AJ19" s="21"/>
      <c r="AK19" s="22">
        <f t="shared" si="3"/>
        <v>6.4</v>
      </c>
      <c r="AL19" s="30">
        <f t="shared" si="4"/>
        <v>6.4</v>
      </c>
      <c r="AM19" s="20"/>
      <c r="AN19" s="20"/>
      <c r="AO19" s="20"/>
      <c r="AP19" s="20"/>
      <c r="AQ19" s="20"/>
      <c r="AR19" s="20"/>
      <c r="AS19" s="20"/>
      <c r="AT19" s="21"/>
      <c r="AY19" s="23"/>
    </row>
    <row r="20" spans="1:51" ht="15" customHeight="1" x14ac:dyDescent="0.2">
      <c r="A20" s="19"/>
      <c r="B20" s="20"/>
      <c r="C20" s="174"/>
      <c r="D20" s="174"/>
      <c r="E20" s="153">
        <v>79.2</v>
      </c>
      <c r="F20" s="174"/>
      <c r="G20" s="174"/>
      <c r="H20" s="174"/>
      <c r="I20" s="2"/>
      <c r="J20" s="2"/>
      <c r="K20" s="2"/>
      <c r="L20" s="2"/>
      <c r="M20" s="174"/>
      <c r="N20" s="174"/>
      <c r="O20" s="174"/>
      <c r="P20" s="174"/>
      <c r="Q20" s="174"/>
      <c r="R20" s="174"/>
      <c r="S20" s="174"/>
      <c r="T20" s="174"/>
      <c r="U20" s="174"/>
      <c r="V20" s="174"/>
      <c r="W20" s="174"/>
      <c r="X20" s="174"/>
      <c r="Y20" s="174"/>
      <c r="Z20" s="174"/>
      <c r="AA20" s="21">
        <f t="shared" si="0"/>
        <v>79.2</v>
      </c>
      <c r="AB20" s="128" t="s">
        <v>24</v>
      </c>
      <c r="AC20" s="19"/>
      <c r="AD20" s="20">
        <v>90</v>
      </c>
      <c r="AE20" s="20"/>
      <c r="AF20" s="21"/>
      <c r="AG20" s="19"/>
      <c r="AH20" s="21"/>
      <c r="AI20" s="19"/>
      <c r="AJ20" s="21"/>
      <c r="AK20" s="22">
        <f t="shared" si="3"/>
        <v>71.28</v>
      </c>
      <c r="AL20" s="30"/>
      <c r="AM20" s="20"/>
      <c r="AN20" s="20"/>
      <c r="AO20" s="20"/>
      <c r="AP20" s="20"/>
      <c r="AQ20" s="20">
        <f>AA20*AD20%</f>
        <v>71.28</v>
      </c>
      <c r="AR20" s="20"/>
      <c r="AS20" s="20"/>
      <c r="AT20" s="21"/>
      <c r="AV20" s="23"/>
    </row>
    <row r="21" spans="1:51" ht="15" customHeight="1" x14ac:dyDescent="0.2">
      <c r="A21" s="19"/>
      <c r="B21" s="20"/>
      <c r="C21" s="174"/>
      <c r="D21" s="174"/>
      <c r="E21" s="174"/>
      <c r="F21" s="174"/>
      <c r="G21" s="174"/>
      <c r="H21" s="174"/>
      <c r="I21" s="153">
        <v>621</v>
      </c>
      <c r="J21" s="153"/>
      <c r="K21" s="153"/>
      <c r="L21" s="153"/>
      <c r="M21" s="174"/>
      <c r="N21" s="174"/>
      <c r="O21" s="174"/>
      <c r="P21" s="174"/>
      <c r="Q21" s="174"/>
      <c r="R21" s="174"/>
      <c r="S21" s="174"/>
      <c r="T21" s="174"/>
      <c r="U21" s="174"/>
      <c r="V21" s="174"/>
      <c r="W21" s="174"/>
      <c r="X21" s="174"/>
      <c r="Y21" s="174"/>
      <c r="Z21" s="174"/>
      <c r="AA21" s="21">
        <f t="shared" si="0"/>
        <v>621</v>
      </c>
      <c r="AB21" s="128" t="s">
        <v>25</v>
      </c>
      <c r="AC21" s="19"/>
      <c r="AD21" s="20">
        <v>90</v>
      </c>
      <c r="AE21" s="20"/>
      <c r="AF21" s="21"/>
      <c r="AG21" s="19"/>
      <c r="AH21" s="21"/>
      <c r="AI21" s="19"/>
      <c r="AJ21" s="21"/>
      <c r="AK21" s="22">
        <f t="shared" si="3"/>
        <v>558.9</v>
      </c>
      <c r="AL21" s="30"/>
      <c r="AM21" s="20"/>
      <c r="AN21" s="20"/>
      <c r="AO21" s="20"/>
      <c r="AP21" s="20"/>
      <c r="AQ21" s="20">
        <f>AA21*AD21%</f>
        <v>558.9</v>
      </c>
      <c r="AR21" s="20"/>
      <c r="AS21" s="20"/>
      <c r="AT21" s="21"/>
      <c r="AV21" s="23"/>
    </row>
    <row r="22" spans="1:51" ht="15" customHeight="1" x14ac:dyDescent="0.2">
      <c r="A22" s="19"/>
      <c r="B22" s="20"/>
      <c r="C22" s="153">
        <v>0</v>
      </c>
      <c r="D22" s="153">
        <v>154.80000000000001</v>
      </c>
      <c r="E22" s="153">
        <v>0</v>
      </c>
      <c r="F22" s="153">
        <v>0</v>
      </c>
      <c r="G22" s="2"/>
      <c r="H22" s="153">
        <v>0</v>
      </c>
      <c r="I22" s="153">
        <v>0</v>
      </c>
      <c r="J22" s="2"/>
      <c r="K22" s="2"/>
      <c r="L22" s="2"/>
      <c r="M22" s="2"/>
      <c r="N22" s="2"/>
      <c r="O22" s="2"/>
      <c r="P22" s="2"/>
      <c r="Q22" s="2"/>
      <c r="R22" s="153">
        <v>0</v>
      </c>
      <c r="S22" s="153">
        <v>0</v>
      </c>
      <c r="T22" s="153">
        <v>0</v>
      </c>
      <c r="U22" s="153">
        <v>0</v>
      </c>
      <c r="V22" s="153">
        <v>40.200000000000003</v>
      </c>
      <c r="W22" s="153">
        <v>0</v>
      </c>
      <c r="X22" s="153">
        <v>0</v>
      </c>
      <c r="Y22" s="153">
        <v>0</v>
      </c>
      <c r="Z22" s="153">
        <v>0</v>
      </c>
      <c r="AA22" s="21">
        <f t="shared" si="0"/>
        <v>195</v>
      </c>
      <c r="AB22" s="128" t="s">
        <v>637</v>
      </c>
      <c r="AC22" s="19"/>
      <c r="AD22" s="20">
        <v>90</v>
      </c>
      <c r="AE22" s="20"/>
      <c r="AF22" s="21"/>
      <c r="AG22" s="19"/>
      <c r="AH22" s="21"/>
      <c r="AI22" s="19"/>
      <c r="AJ22" s="21"/>
      <c r="AK22" s="22">
        <f t="shared" si="3"/>
        <v>175.5</v>
      </c>
      <c r="AL22" s="175"/>
      <c r="AM22" s="174"/>
      <c r="AN22" s="174"/>
      <c r="AO22" s="174"/>
      <c r="AP22" s="174"/>
      <c r="AQ22" s="174">
        <f>AA22*AD22%</f>
        <v>175.5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0.4</v>
      </c>
      <c r="P23" s="174"/>
      <c r="Q23" s="174"/>
      <c r="R23" s="174"/>
      <c r="S23" s="174"/>
      <c r="T23" s="174"/>
      <c r="U23" s="174"/>
      <c r="V23" s="174"/>
      <c r="W23" s="174"/>
      <c r="X23" s="174"/>
      <c r="Y23" s="174"/>
      <c r="Z23" s="174"/>
      <c r="AA23" s="21">
        <f t="shared" si="0"/>
        <v>0.4</v>
      </c>
      <c r="AB23" s="128" t="s">
        <v>14</v>
      </c>
      <c r="AC23" s="20">
        <v>100</v>
      </c>
      <c r="AD23" s="20"/>
      <c r="AE23" s="20"/>
      <c r="AF23" s="21"/>
      <c r="AG23" s="19">
        <f>AA23*AC23/100</f>
        <v>0.4</v>
      </c>
      <c r="AH23" s="21"/>
      <c r="AI23" s="19"/>
      <c r="AJ23" s="21"/>
      <c r="AK23" s="22">
        <f t="shared" si="3"/>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576.01</v>
      </c>
      <c r="N24" s="174"/>
      <c r="O24" s="174"/>
      <c r="P24" s="174"/>
      <c r="Q24" s="174"/>
      <c r="R24" s="174"/>
      <c r="S24" s="174"/>
      <c r="T24" s="174"/>
      <c r="U24" s="174"/>
      <c r="V24" s="174"/>
      <c r="W24" s="174"/>
      <c r="X24" s="174"/>
      <c r="Y24" s="174"/>
      <c r="Z24" s="174"/>
      <c r="AA24" s="21">
        <f t="shared" si="0"/>
        <v>576.01</v>
      </c>
      <c r="AB24" s="128" t="s">
        <v>26</v>
      </c>
      <c r="AC24" s="20">
        <v>100</v>
      </c>
      <c r="AD24" s="20"/>
      <c r="AE24" s="20"/>
      <c r="AF24" s="21"/>
      <c r="AG24" s="19">
        <f>AC24*AA24/100</f>
        <v>576.01</v>
      </c>
      <c r="AH24" s="21"/>
      <c r="AI24" s="19"/>
      <c r="AJ24" s="21"/>
      <c r="AK24" s="22">
        <f t="shared" si="3"/>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f t="shared" si="0"/>
        <v>0</v>
      </c>
      <c r="AB25" s="128" t="s">
        <v>75</v>
      </c>
      <c r="AC25" s="170">
        <v>100</v>
      </c>
      <c r="AD25" s="174"/>
      <c r="AE25" s="174"/>
      <c r="AF25" s="169"/>
      <c r="AG25" s="170">
        <f>AC25*AA25/100</f>
        <v>0</v>
      </c>
      <c r="AH25" s="169"/>
      <c r="AI25" s="19"/>
      <c r="AJ25" s="21"/>
      <c r="AK25" s="22">
        <f t="shared" si="3"/>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f t="shared" si="0"/>
        <v>0</v>
      </c>
      <c r="AB26" s="128" t="s">
        <v>638</v>
      </c>
      <c r="AC26" s="153">
        <v>100</v>
      </c>
      <c r="AD26" s="174"/>
      <c r="AE26" s="174"/>
      <c r="AF26" s="169"/>
      <c r="AG26" s="170">
        <f>AC26*AA26/100</f>
        <v>0</v>
      </c>
      <c r="AH26" s="169"/>
      <c r="AI26" s="19"/>
      <c r="AJ26" s="21"/>
      <c r="AK26" s="22">
        <f t="shared" si="3"/>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f>-(I27*33.3%)/AD27%</f>
        <v>0</v>
      </c>
      <c r="S27" s="24">
        <f>-(I27*10.5%)/AD27%</f>
        <v>0</v>
      </c>
      <c r="T27" s="24">
        <f>-(I27*6.6%)/AD27%</f>
        <v>0</v>
      </c>
      <c r="U27" s="24"/>
      <c r="V27" s="24"/>
      <c r="W27" s="24">
        <f>-(I27*49.6%)/AD27%</f>
        <v>0</v>
      </c>
      <c r="X27" s="172"/>
      <c r="Y27" s="172"/>
      <c r="Z27" s="172"/>
      <c r="AA27" s="21">
        <f t="shared" si="0"/>
        <v>0</v>
      </c>
      <c r="AB27" s="129" t="s">
        <v>174</v>
      </c>
      <c r="AC27" s="180"/>
      <c r="AD27" s="172">
        <v>100</v>
      </c>
      <c r="AE27" s="172"/>
      <c r="AF27" s="173"/>
      <c r="AG27" s="181"/>
      <c r="AH27" s="173"/>
      <c r="AI27" s="6"/>
      <c r="AJ27" s="7"/>
      <c r="AK27" s="22">
        <f t="shared" si="3"/>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f>AA28*46%</f>
        <v>17.7422</v>
      </c>
      <c r="S28" s="2"/>
      <c r="T28" s="2"/>
      <c r="U28" s="2"/>
      <c r="V28" s="2"/>
      <c r="W28" s="153">
        <f>AA28*54%</f>
        <v>20.8278</v>
      </c>
      <c r="X28" s="172"/>
      <c r="Y28" s="172"/>
      <c r="Z28" s="172"/>
      <c r="AA28" s="25">
        <v>38.57</v>
      </c>
      <c r="AB28" s="129" t="s">
        <v>173</v>
      </c>
      <c r="AC28" s="153">
        <v>34.200000000000003</v>
      </c>
      <c r="AD28" s="2"/>
      <c r="AE28" s="172"/>
      <c r="AF28" s="173"/>
      <c r="AG28" s="170">
        <f>AA28*AC28/100</f>
        <v>13.190940000000001</v>
      </c>
      <c r="AH28" s="169"/>
      <c r="AI28" s="170">
        <f>AA28*AE28/100</f>
        <v>0</v>
      </c>
      <c r="AJ28" s="169"/>
      <c r="AK28" s="22">
        <f t="shared" si="3"/>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f t="shared" si="0"/>
        <v>0</v>
      </c>
      <c r="AB29" s="129" t="s">
        <v>184</v>
      </c>
      <c r="AC29" s="155">
        <v>0</v>
      </c>
      <c r="AD29" s="172"/>
      <c r="AE29" s="153">
        <v>0</v>
      </c>
      <c r="AF29" s="169"/>
      <c r="AG29" s="170">
        <f>AA29*AC29/100</f>
        <v>0</v>
      </c>
      <c r="AH29" s="169"/>
      <c r="AI29" s="19">
        <f>AA29*AE29/100</f>
        <v>0</v>
      </c>
      <c r="AJ29" s="21"/>
      <c r="AK29" s="22">
        <f t="shared" si="3"/>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f t="shared" si="0"/>
        <v>0</v>
      </c>
      <c r="AB30" s="129" t="s">
        <v>13</v>
      </c>
      <c r="AC30" s="181"/>
      <c r="AD30" s="172"/>
      <c r="AE30" s="153">
        <v>0</v>
      </c>
      <c r="AF30" s="169"/>
      <c r="AG30" s="170"/>
      <c r="AH30" s="169"/>
      <c r="AI30" s="19">
        <f>AA30*AE30/100</f>
        <v>0</v>
      </c>
      <c r="AJ30" s="21"/>
      <c r="AK30" s="22">
        <f t="shared" si="3"/>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f>AI31-AH31</f>
        <v>0</v>
      </c>
      <c r="R31" s="172"/>
      <c r="S31" s="172"/>
      <c r="T31" s="172"/>
      <c r="U31" s="172"/>
      <c r="V31" s="172"/>
      <c r="W31" s="172"/>
      <c r="X31" s="172"/>
      <c r="Y31" s="172"/>
      <c r="Z31" s="172"/>
      <c r="AA31" s="21">
        <f t="shared" si="0"/>
        <v>0</v>
      </c>
      <c r="AB31" s="129" t="s">
        <v>171</v>
      </c>
      <c r="AC31" s="170"/>
      <c r="AD31" s="174"/>
      <c r="AE31" s="24">
        <v>300</v>
      </c>
      <c r="AF31" s="169"/>
      <c r="AG31" s="181">
        <f>-AH31/$D$2%</f>
        <v>0</v>
      </c>
      <c r="AH31" s="700">
        <v>0</v>
      </c>
      <c r="AI31" s="182">
        <f>AH31*AE31%</f>
        <v>0</v>
      </c>
      <c r="AJ31" s="7"/>
      <c r="AK31" s="22">
        <f t="shared" si="3"/>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f t="shared" si="0"/>
        <v>0</v>
      </c>
      <c r="AB32" s="129" t="s">
        <v>172</v>
      </c>
      <c r="AC32" s="170"/>
      <c r="AD32" s="174"/>
      <c r="AE32" s="24">
        <v>100</v>
      </c>
      <c r="AF32" s="169"/>
      <c r="AG32" s="181">
        <f>-AH32/$D$2%</f>
        <v>0</v>
      </c>
      <c r="AH32" s="700">
        <v>0</v>
      </c>
      <c r="AI32" s="170">
        <f>AH32*AE32%</f>
        <v>0</v>
      </c>
      <c r="AJ32" s="7"/>
      <c r="AK32" s="22">
        <f t="shared" si="3"/>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f t="shared" si="0"/>
        <v>0</v>
      </c>
      <c r="AB33" s="129" t="s">
        <v>27</v>
      </c>
      <c r="AC33" s="181"/>
      <c r="AD33" s="172"/>
      <c r="AE33" s="172"/>
      <c r="AF33" s="156">
        <v>77.3</v>
      </c>
      <c r="AG33" s="170"/>
      <c r="AH33" s="169"/>
      <c r="AI33" s="19">
        <f>-SUM(AI29:AI32)</f>
        <v>0</v>
      </c>
      <c r="AJ33" s="21">
        <f>-AI33*AF33%</f>
        <v>0</v>
      </c>
      <c r="AK33" s="22">
        <f>SUM(AL33:AT33)</f>
        <v>0</v>
      </c>
      <c r="AL33" s="30">
        <f>AJ33*63.8%</f>
        <v>0</v>
      </c>
      <c r="AM33" s="30">
        <f>AJ33*9.6%</f>
        <v>0</v>
      </c>
      <c r="AN33" s="20">
        <f>AJ33*12.9%</f>
        <v>0</v>
      </c>
      <c r="AO33" s="20">
        <f>AJ33*7%</f>
        <v>0</v>
      </c>
      <c r="AP33" s="20">
        <f>AJ33*0%</f>
        <v>0</v>
      </c>
      <c r="AQ33" s="20">
        <f>AJ33*4.8%</f>
        <v>0</v>
      </c>
      <c r="AR33" s="20">
        <f>AJ33*1.9%</f>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f t="shared" si="0"/>
        <v>0</v>
      </c>
      <c r="AB34" s="129" t="s">
        <v>185</v>
      </c>
      <c r="AC34" s="155">
        <v>0</v>
      </c>
      <c r="AD34" s="172"/>
      <c r="AE34" s="153">
        <v>0</v>
      </c>
      <c r="AF34" s="173"/>
      <c r="AG34" s="170">
        <f>AA34*AC34/100</f>
        <v>0</v>
      </c>
      <c r="AH34" s="169"/>
      <c r="AI34" s="19">
        <f>AA34*AE34/100</f>
        <v>0</v>
      </c>
      <c r="AJ34" s="21"/>
      <c r="AK34" s="22">
        <f t="shared" si="3"/>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f t="shared" si="0"/>
        <v>0</v>
      </c>
      <c r="AB35" s="129" t="s">
        <v>7</v>
      </c>
      <c r="AC35" s="181"/>
      <c r="AD35" s="172"/>
      <c r="AE35" s="153">
        <v>0</v>
      </c>
      <c r="AF35" s="173"/>
      <c r="AG35" s="170">
        <f>AA35*AC35/100</f>
        <v>0</v>
      </c>
      <c r="AH35" s="169"/>
      <c r="AI35" s="19">
        <f>AA35*AE35/100</f>
        <v>0</v>
      </c>
      <c r="AJ35" s="21"/>
      <c r="AK35" s="22">
        <f t="shared" si="3"/>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f t="shared" si="0"/>
        <v>0</v>
      </c>
      <c r="AB36" s="130" t="s">
        <v>28</v>
      </c>
      <c r="AC36" s="181"/>
      <c r="AD36" s="172"/>
      <c r="AE36" s="172"/>
      <c r="AF36" s="156">
        <v>77.3</v>
      </c>
      <c r="AG36" s="170"/>
      <c r="AH36" s="169"/>
      <c r="AI36" s="19">
        <f>-SUM(AI34:AI35)</f>
        <v>0</v>
      </c>
      <c r="AJ36" s="21">
        <f>-AI36*AF36%</f>
        <v>0</v>
      </c>
      <c r="AK36" s="22">
        <f t="shared" si="3"/>
        <v>0</v>
      </c>
      <c r="AL36" s="30">
        <f>AJ36*63.8%</f>
        <v>0</v>
      </c>
      <c r="AM36" s="30">
        <f>AJ36*9.6%</f>
        <v>0</v>
      </c>
      <c r="AN36" s="20">
        <f>AJ36*12.9%</f>
        <v>0</v>
      </c>
      <c r="AO36" s="20">
        <f>AJ36*7%</f>
        <v>0</v>
      </c>
      <c r="AP36" s="20">
        <f>AJ36*0%</f>
        <v>0</v>
      </c>
      <c r="AQ36" s="20">
        <f>AJ36*4.8%</f>
        <v>0</v>
      </c>
      <c r="AR36" s="20">
        <f>AJ36*1.9%</f>
        <v>0</v>
      </c>
      <c r="AS36" s="153"/>
      <c r="AT36" s="21"/>
    </row>
    <row r="37" spans="1:47" ht="15" customHeight="1" x14ac:dyDescent="0.2">
      <c r="A37" s="20"/>
      <c r="B37" s="153">
        <v>0</v>
      </c>
      <c r="C37" s="153">
        <v>0</v>
      </c>
      <c r="D37" s="153">
        <v>0</v>
      </c>
      <c r="E37" s="153">
        <v>0</v>
      </c>
      <c r="F37" s="153">
        <v>0</v>
      </c>
      <c r="G37" s="153">
        <v>0</v>
      </c>
      <c r="H37" s="153">
        <v>0</v>
      </c>
      <c r="I37" s="153">
        <v>208.7</v>
      </c>
      <c r="J37" s="692"/>
      <c r="K37" s="153"/>
      <c r="L37" s="153"/>
      <c r="M37" s="153">
        <v>0</v>
      </c>
      <c r="N37" s="153">
        <v>0</v>
      </c>
      <c r="O37" s="153">
        <v>0</v>
      </c>
      <c r="P37" s="153">
        <v>0</v>
      </c>
      <c r="Q37" s="153">
        <v>0</v>
      </c>
      <c r="R37" s="153">
        <v>0</v>
      </c>
      <c r="S37" s="153">
        <v>0</v>
      </c>
      <c r="T37" s="153">
        <v>0</v>
      </c>
      <c r="U37" s="153">
        <v>0</v>
      </c>
      <c r="V37" s="153">
        <v>168</v>
      </c>
      <c r="W37" s="153">
        <v>0</v>
      </c>
      <c r="X37" s="153">
        <v>0</v>
      </c>
      <c r="Y37" s="153">
        <v>2.9</v>
      </c>
      <c r="Z37" s="153">
        <v>0</v>
      </c>
      <c r="AA37" s="21">
        <f t="shared" si="0"/>
        <v>379.59999999999997</v>
      </c>
      <c r="AB37" s="130" t="s">
        <v>186</v>
      </c>
      <c r="AC37" s="155">
        <v>30.854794520547944</v>
      </c>
      <c r="AD37" s="172"/>
      <c r="AE37" s="153">
        <v>55.523630136986299</v>
      </c>
      <c r="AF37" s="173"/>
      <c r="AG37" s="19">
        <f>AA37*AC37/100</f>
        <v>117.12479999999998</v>
      </c>
      <c r="AH37" s="21"/>
      <c r="AI37" s="19">
        <f t="shared" ref="AI37" si="5">AA37*AE37/100</f>
        <v>210.76769999999996</v>
      </c>
      <c r="AJ37" s="21"/>
      <c r="AK37" s="22">
        <f t="shared" si="3"/>
        <v>0</v>
      </c>
      <c r="AL37" s="175"/>
      <c r="AM37" s="174"/>
      <c r="AN37" s="174"/>
      <c r="AO37" s="174"/>
      <c r="AP37" s="174"/>
      <c r="AQ37" s="174"/>
      <c r="AR37" s="174"/>
      <c r="AS37" s="174"/>
      <c r="AT37" s="21"/>
    </row>
    <row r="38" spans="1:47" ht="15" customHeight="1" x14ac:dyDescent="0.2">
      <c r="A38" s="20"/>
      <c r="B38" s="153">
        <v>0</v>
      </c>
      <c r="C38" s="153">
        <v>0</v>
      </c>
      <c r="D38" s="153">
        <v>0</v>
      </c>
      <c r="E38" s="153">
        <v>1.1599999999999999</v>
      </c>
      <c r="F38" s="153">
        <v>0</v>
      </c>
      <c r="G38" s="153">
        <v>0</v>
      </c>
      <c r="H38" s="153">
        <v>0</v>
      </c>
      <c r="I38" s="153">
        <v>108.5</v>
      </c>
      <c r="J38" s="31"/>
      <c r="K38" s="153"/>
      <c r="L38" s="153"/>
      <c r="M38" s="153">
        <v>0</v>
      </c>
      <c r="N38" s="153">
        <v>0</v>
      </c>
      <c r="O38" s="153">
        <v>0</v>
      </c>
      <c r="P38" s="153">
        <v>0</v>
      </c>
      <c r="Q38" s="153">
        <v>0</v>
      </c>
      <c r="R38" s="153">
        <v>0</v>
      </c>
      <c r="S38" s="153">
        <v>224.8</v>
      </c>
      <c r="T38" s="153">
        <v>0</v>
      </c>
      <c r="U38" s="153">
        <v>55.03</v>
      </c>
      <c r="V38" s="153">
        <v>444.65</v>
      </c>
      <c r="W38" s="153">
        <v>0</v>
      </c>
      <c r="X38" s="153">
        <v>0</v>
      </c>
      <c r="Y38" s="153">
        <v>0</v>
      </c>
      <c r="Z38" s="153">
        <v>0</v>
      </c>
      <c r="AA38" s="21">
        <f t="shared" si="0"/>
        <v>834.14</v>
      </c>
      <c r="AB38" s="130" t="s">
        <v>209</v>
      </c>
      <c r="AC38" s="181"/>
      <c r="AD38" s="172"/>
      <c r="AE38" s="153">
        <v>87.383966720214829</v>
      </c>
      <c r="AF38" s="173"/>
      <c r="AG38" s="19">
        <f>AA38*AC38/100</f>
        <v>0</v>
      </c>
      <c r="AH38" s="21"/>
      <c r="AI38" s="19">
        <f>AA38*AE38/100</f>
        <v>728.90462000000002</v>
      </c>
      <c r="AJ38" s="21"/>
      <c r="AK38" s="22">
        <f t="shared" si="3"/>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f>AI39-AH39</f>
        <v>0</v>
      </c>
      <c r="R39" s="2"/>
      <c r="S39" s="2"/>
      <c r="T39" s="2"/>
      <c r="U39" s="2"/>
      <c r="V39" s="2"/>
      <c r="W39" s="2"/>
      <c r="X39" s="2"/>
      <c r="Y39" s="2"/>
      <c r="Z39" s="2"/>
      <c r="AA39" s="21">
        <f t="shared" si="0"/>
        <v>0</v>
      </c>
      <c r="AB39" s="130" t="s">
        <v>210</v>
      </c>
      <c r="AC39" s="170"/>
      <c r="AD39" s="174"/>
      <c r="AE39" s="153">
        <v>0</v>
      </c>
      <c r="AF39" s="169"/>
      <c r="AG39" s="181">
        <f>-AH39/$D$2%</f>
        <v>0</v>
      </c>
      <c r="AH39" s="700">
        <v>0</v>
      </c>
      <c r="AI39" s="170">
        <f>(AH39+I39)*AE39%</f>
        <v>0</v>
      </c>
      <c r="AJ39" s="173"/>
      <c r="AK39" s="22">
        <f t="shared" si="3"/>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f t="shared" si="0"/>
        <v>0</v>
      </c>
      <c r="AB40" s="130" t="s">
        <v>211</v>
      </c>
      <c r="AC40" s="170"/>
      <c r="AD40" s="174"/>
      <c r="AE40" s="153">
        <v>0</v>
      </c>
      <c r="AF40" s="169"/>
      <c r="AG40" s="181">
        <f>-AH40/$D$2%</f>
        <v>0</v>
      </c>
      <c r="AH40" s="700">
        <v>0</v>
      </c>
      <c r="AI40" s="181">
        <f>AH40*AE40%</f>
        <v>0</v>
      </c>
      <c r="AJ40" s="173"/>
      <c r="AK40" s="22">
        <f t="shared" si="3"/>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f t="shared" si="0"/>
        <v>0</v>
      </c>
      <c r="AB41" s="130" t="s">
        <v>212</v>
      </c>
      <c r="AC41" s="181"/>
      <c r="AD41" s="172"/>
      <c r="AE41" s="153">
        <v>0</v>
      </c>
      <c r="AF41" s="173"/>
      <c r="AG41" s="19"/>
      <c r="AH41" s="21"/>
      <c r="AI41" s="19">
        <f t="shared" ref="AI41:AI42" si="6">AA41*AE41/100</f>
        <v>0</v>
      </c>
      <c r="AJ41" s="21"/>
      <c r="AK41" s="22">
        <f t="shared" si="3"/>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f t="shared" si="0"/>
        <v>0</v>
      </c>
      <c r="AB42" s="130" t="s">
        <v>213</v>
      </c>
      <c r="AC42" s="181"/>
      <c r="AD42" s="172"/>
      <c r="AE42" s="153">
        <v>100</v>
      </c>
      <c r="AF42" s="173"/>
      <c r="AG42" s="19">
        <f>AA42*AC42/100</f>
        <v>0</v>
      </c>
      <c r="AH42" s="21"/>
      <c r="AI42" s="19">
        <f t="shared" si="6"/>
        <v>0</v>
      </c>
      <c r="AJ42" s="21"/>
      <c r="AK42" s="22">
        <f t="shared" si="3"/>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f t="shared" si="0"/>
        <v>0</v>
      </c>
      <c r="AB43" s="130" t="s">
        <v>214</v>
      </c>
      <c r="AC43" s="181"/>
      <c r="AD43" s="172"/>
      <c r="AE43" s="172"/>
      <c r="AF43" s="156">
        <v>77.3</v>
      </c>
      <c r="AG43" s="170"/>
      <c r="AH43" s="169"/>
      <c r="AI43" s="170">
        <f>-SUM(AI37:AI42)</f>
        <v>-939.67232000000001</v>
      </c>
      <c r="AJ43" s="169">
        <f>-AI43*AF43%</f>
        <v>726.36670335999997</v>
      </c>
      <c r="AK43" s="22">
        <f t="shared" si="3"/>
        <v>726.36670335999997</v>
      </c>
      <c r="AL43" s="30">
        <f>AJ43*63.8%</f>
        <v>463.42195674367997</v>
      </c>
      <c r="AM43" s="30">
        <f>AJ43*9.6%</f>
        <v>69.731203522559994</v>
      </c>
      <c r="AN43" s="20">
        <f>AJ43*12.9%</f>
        <v>93.701304733439997</v>
      </c>
      <c r="AO43" s="20">
        <f>AJ43*7%</f>
        <v>50.845669235200006</v>
      </c>
      <c r="AP43" s="20">
        <f>AJ43*0%</f>
        <v>0</v>
      </c>
      <c r="AQ43" s="20">
        <f>AJ43*4.8%</f>
        <v>34.865601761279997</v>
      </c>
      <c r="AR43" s="20">
        <f>AJ43*1.9%</f>
        <v>13.80096736384</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f t="shared" si="0"/>
        <v>0</v>
      </c>
      <c r="AB44" s="130" t="s">
        <v>187</v>
      </c>
      <c r="AC44" s="141">
        <v>0</v>
      </c>
      <c r="AD44" s="172"/>
      <c r="AE44" s="2">
        <v>0</v>
      </c>
      <c r="AF44" s="156"/>
      <c r="AG44" s="19">
        <f>AA44*AC44/100</f>
        <v>0</v>
      </c>
      <c r="AH44" s="169"/>
      <c r="AI44" s="170">
        <f>AA44*AE44/100</f>
        <v>0</v>
      </c>
      <c r="AJ44" s="169"/>
      <c r="AK44" s="22">
        <f t="shared" ref="AK44:AK59" si="7">SUM(AL44:AT44)</f>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f t="shared" si="0"/>
        <v>0</v>
      </c>
      <c r="AB45" s="130" t="s">
        <v>188</v>
      </c>
      <c r="AC45" s="181"/>
      <c r="AD45" s="172"/>
      <c r="AE45" s="153">
        <v>99</v>
      </c>
      <c r="AF45" s="173"/>
      <c r="AG45" s="170">
        <f>-AH45/$D$2%</f>
        <v>0</v>
      </c>
      <c r="AH45" s="169"/>
      <c r="AI45" s="170">
        <f>AA45*AE45%</f>
        <v>0</v>
      </c>
      <c r="AJ45" s="169"/>
      <c r="AK45" s="22">
        <f t="shared" si="7"/>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f>AI46-AH46</f>
        <v>0</v>
      </c>
      <c r="R46" s="24"/>
      <c r="S46" s="24"/>
      <c r="T46" s="24"/>
      <c r="U46" s="24"/>
      <c r="V46" s="24"/>
      <c r="W46" s="24"/>
      <c r="X46" s="24"/>
      <c r="Y46" s="24"/>
      <c r="Z46" s="24"/>
      <c r="AA46" s="29">
        <f t="shared" si="0"/>
        <v>0</v>
      </c>
      <c r="AB46" s="130" t="s">
        <v>189</v>
      </c>
      <c r="AC46" s="170"/>
      <c r="AD46" s="174"/>
      <c r="AE46" s="153">
        <v>300</v>
      </c>
      <c r="AF46" s="169"/>
      <c r="AG46" s="170">
        <f>-AH46/$D$2%</f>
        <v>0</v>
      </c>
      <c r="AH46" s="156"/>
      <c r="AI46" s="170">
        <f>(AH46+I46)*AE46%</f>
        <v>0</v>
      </c>
      <c r="AJ46" s="21"/>
      <c r="AK46" s="22">
        <f t="shared" si="7"/>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f t="shared" si="0"/>
        <v>0</v>
      </c>
      <c r="AB47" s="130" t="s">
        <v>190</v>
      </c>
      <c r="AC47" s="170"/>
      <c r="AD47" s="174"/>
      <c r="AE47" s="153">
        <v>100</v>
      </c>
      <c r="AF47" s="169"/>
      <c r="AG47" s="170">
        <f>-AH47/$D$2%</f>
        <v>0</v>
      </c>
      <c r="AH47" s="156"/>
      <c r="AI47" s="181">
        <f>AH47*AE47%</f>
        <v>0</v>
      </c>
      <c r="AJ47" s="169"/>
      <c r="AK47" s="22">
        <f t="shared" si="7"/>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f t="shared" si="0"/>
        <v>0</v>
      </c>
      <c r="AB48" s="130" t="s">
        <v>191</v>
      </c>
      <c r="AC48" s="170"/>
      <c r="AD48" s="174"/>
      <c r="AE48" s="24">
        <v>100</v>
      </c>
      <c r="AF48" s="169"/>
      <c r="AG48" s="170"/>
      <c r="AH48" s="169"/>
      <c r="AI48" s="170">
        <f>AA48*AE48/100</f>
        <v>0</v>
      </c>
      <c r="AJ48" s="169"/>
      <c r="AK48" s="22">
        <f t="shared" si="7"/>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f t="shared" si="0"/>
        <v>0</v>
      </c>
      <c r="AB49" s="130" t="s">
        <v>192</v>
      </c>
      <c r="AC49" s="181"/>
      <c r="AD49" s="172"/>
      <c r="AE49" s="153">
        <v>100</v>
      </c>
      <c r="AF49" s="173"/>
      <c r="AG49" s="170">
        <f>AA49*AC49%</f>
        <v>0</v>
      </c>
      <c r="AH49" s="169"/>
      <c r="AI49" s="170">
        <f>AA49*AE49%</f>
        <v>0</v>
      </c>
      <c r="AJ49" s="169"/>
      <c r="AK49" s="22">
        <f t="shared" si="7"/>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f t="shared" si="0"/>
        <v>0</v>
      </c>
      <c r="AB50" s="130" t="s">
        <v>193</v>
      </c>
      <c r="AC50" s="181"/>
      <c r="AD50" s="172"/>
      <c r="AE50" s="2">
        <v>100</v>
      </c>
      <c r="AF50" s="173"/>
      <c r="AG50" s="170"/>
      <c r="AH50" s="169"/>
      <c r="AI50" s="33"/>
      <c r="AJ50" s="169"/>
      <c r="AK50" s="22">
        <f t="shared" si="7"/>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f t="shared" si="0"/>
        <v>0</v>
      </c>
      <c r="AB51" s="130" t="s">
        <v>194</v>
      </c>
      <c r="AC51" s="181"/>
      <c r="AD51" s="172"/>
      <c r="AE51" s="172"/>
      <c r="AF51" s="156">
        <v>77.3</v>
      </c>
      <c r="AG51" s="170"/>
      <c r="AH51" s="169"/>
      <c r="AI51" s="6">
        <f>-SUM(AI44:AI50)</f>
        <v>0</v>
      </c>
      <c r="AJ51" s="169">
        <f>-AI51*AF51/100</f>
        <v>0</v>
      </c>
      <c r="AK51" s="22">
        <f t="shared" si="7"/>
        <v>0</v>
      </c>
      <c r="AL51" s="30">
        <f>AJ51*63.8%</f>
        <v>0</v>
      </c>
      <c r="AM51" s="30">
        <f>AJ51*9.6%</f>
        <v>0</v>
      </c>
      <c r="AN51" s="20">
        <f>AJ51*12.9%</f>
        <v>0</v>
      </c>
      <c r="AO51" s="20">
        <f>AJ51*7%</f>
        <v>0</v>
      </c>
      <c r="AP51" s="20">
        <f>AJ51*0%</f>
        <v>0</v>
      </c>
      <c r="AQ51" s="20">
        <f>AJ51*4.8%</f>
        <v>0</v>
      </c>
      <c r="AR51" s="20">
        <f>AJ51*1.9%</f>
        <v>0</v>
      </c>
      <c r="AS51" s="153"/>
      <c r="AT51" s="21"/>
    </row>
    <row r="52" spans="1:46" ht="15" customHeight="1" x14ac:dyDescent="0.2">
      <c r="A52" s="20"/>
      <c r="B52" s="153">
        <v>0</v>
      </c>
      <c r="C52" s="153">
        <v>0</v>
      </c>
      <c r="D52" s="153">
        <v>0</v>
      </c>
      <c r="E52" s="153">
        <v>0</v>
      </c>
      <c r="F52" s="153">
        <v>0</v>
      </c>
      <c r="G52" s="153">
        <v>0</v>
      </c>
      <c r="H52" s="153">
        <v>0</v>
      </c>
      <c r="I52" s="153">
        <v>3.2</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f t="shared" si="0"/>
        <v>3.2</v>
      </c>
      <c r="AB52" s="130" t="s">
        <v>195</v>
      </c>
      <c r="AC52" s="155">
        <v>33.299999999999997</v>
      </c>
      <c r="AD52" s="172"/>
      <c r="AE52" s="153">
        <v>46.79999999999999</v>
      </c>
      <c r="AF52" s="173"/>
      <c r="AG52" s="19">
        <f t="shared" ref="AG52:AG54" si="8">AC52/100*AA52</f>
        <v>1.0655999999999999</v>
      </c>
      <c r="AH52" s="21"/>
      <c r="AI52" s="19">
        <f>AA52*AE52/100</f>
        <v>1.4975999999999996</v>
      </c>
      <c r="AJ52" s="21"/>
      <c r="AK52" s="22">
        <f t="shared" si="7"/>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11.03</v>
      </c>
      <c r="W53" s="24">
        <v>0</v>
      </c>
      <c r="X53" s="24">
        <v>0</v>
      </c>
      <c r="Y53" s="24">
        <v>0</v>
      </c>
      <c r="Z53" s="24">
        <v>0</v>
      </c>
      <c r="AA53" s="29">
        <f t="shared" si="0"/>
        <v>11.03</v>
      </c>
      <c r="AB53" s="130" t="s">
        <v>196</v>
      </c>
      <c r="AC53" s="181"/>
      <c r="AD53" s="172"/>
      <c r="AE53" s="153">
        <v>96</v>
      </c>
      <c r="AF53" s="173"/>
      <c r="AG53" s="19">
        <f t="shared" si="8"/>
        <v>0</v>
      </c>
      <c r="AH53" s="21"/>
      <c r="AI53" s="19">
        <f>AA53*AE53/100</f>
        <v>10.588799999999999</v>
      </c>
      <c r="AJ53" s="21"/>
      <c r="AK53" s="22">
        <f t="shared" si="7"/>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f t="shared" si="0"/>
        <v>0</v>
      </c>
      <c r="AB54" s="130" t="s">
        <v>197</v>
      </c>
      <c r="AC54" s="181"/>
      <c r="AD54" s="172"/>
      <c r="AE54" s="2">
        <v>100</v>
      </c>
      <c r="AF54" s="173"/>
      <c r="AG54" s="19">
        <f t="shared" si="8"/>
        <v>0</v>
      </c>
      <c r="AH54" s="156"/>
      <c r="AI54" s="33">
        <v>0</v>
      </c>
      <c r="AJ54" s="21"/>
      <c r="AK54" s="22">
        <f t="shared" si="7"/>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f t="shared" si="0"/>
        <v>0</v>
      </c>
      <c r="AB55" s="675" t="s">
        <v>198</v>
      </c>
      <c r="AC55" s="6"/>
      <c r="AD55" s="148"/>
      <c r="AE55" s="148"/>
      <c r="AF55" s="183"/>
      <c r="AG55" s="19">
        <f>-AH55</f>
        <v>0</v>
      </c>
      <c r="AH55" s="8">
        <v>0</v>
      </c>
      <c r="AI55" s="141"/>
      <c r="AJ55" s="21"/>
      <c r="AK55" s="22">
        <f t="shared" si="7"/>
        <v>0</v>
      </c>
      <c r="AL55" s="175"/>
      <c r="AM55" s="174"/>
      <c r="AN55" s="174"/>
      <c r="AO55" s="174"/>
      <c r="AP55" s="174"/>
      <c r="AQ55" s="174">
        <f>AH55</f>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f t="shared" si="0"/>
        <v>0</v>
      </c>
      <c r="AB56" s="675" t="s">
        <v>656</v>
      </c>
      <c r="AC56" s="6"/>
      <c r="AD56" s="148"/>
      <c r="AE56" s="148"/>
      <c r="AF56" s="173"/>
      <c r="AG56" s="19"/>
      <c r="AH56" s="173"/>
      <c r="AI56" s="141">
        <v>-6</v>
      </c>
      <c r="AJ56" s="21"/>
      <c r="AK56" s="22">
        <f t="shared" si="7"/>
        <v>6</v>
      </c>
      <c r="AL56" s="175"/>
      <c r="AM56" s="174"/>
      <c r="AN56" s="174"/>
      <c r="AO56" s="174"/>
      <c r="AP56" s="174"/>
      <c r="AQ56" s="174">
        <f>-AI56</f>
        <v>6</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f t="shared" si="0"/>
        <v>0</v>
      </c>
      <c r="AB57" s="130" t="s">
        <v>200</v>
      </c>
      <c r="AC57" s="6">
        <v>65</v>
      </c>
      <c r="AD57" s="148"/>
      <c r="AE57" s="148">
        <v>15</v>
      </c>
      <c r="AF57" s="173"/>
      <c r="AG57" s="19">
        <f>-AH57/$D$2%</f>
        <v>0</v>
      </c>
      <c r="AH57" s="173"/>
      <c r="AI57" s="141">
        <f>AH57*AE57%</f>
        <v>0</v>
      </c>
      <c r="AJ57" s="21">
        <f>AI57*AF60%</f>
        <v>0</v>
      </c>
      <c r="AK57" s="22">
        <f t="shared" si="7"/>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f t="shared" si="0"/>
        <v>0</v>
      </c>
      <c r="AB58" s="130" t="s">
        <v>201</v>
      </c>
      <c r="AC58" s="6">
        <v>630</v>
      </c>
      <c r="AD58" s="148"/>
      <c r="AE58" s="148"/>
      <c r="AF58" s="173"/>
      <c r="AG58" s="19">
        <f>-AH58/$D$2%</f>
        <v>0</v>
      </c>
      <c r="AH58" s="173"/>
      <c r="AI58" s="141">
        <f t="shared" ref="AI58:AI59" si="9">AH58*AE58%</f>
        <v>0</v>
      </c>
      <c r="AJ58" s="21">
        <f t="shared" ref="AJ58:AJ59" si="10">AI58*AF61%</f>
        <v>0</v>
      </c>
      <c r="AK58" s="22">
        <f t="shared" si="7"/>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f t="shared" si="0"/>
        <v>0</v>
      </c>
      <c r="AB59" s="130" t="s">
        <v>202</v>
      </c>
      <c r="AC59" s="6"/>
      <c r="AD59" s="148"/>
      <c r="AE59" s="148"/>
      <c r="AF59" s="173"/>
      <c r="AG59" s="19">
        <f>-AH59/$D$2%</f>
        <v>0</v>
      </c>
      <c r="AH59" s="173"/>
      <c r="AI59" s="141">
        <f t="shared" si="9"/>
        <v>0</v>
      </c>
      <c r="AJ59" s="21">
        <f t="shared" si="10"/>
        <v>0</v>
      </c>
      <c r="AK59" s="22">
        <f t="shared" si="7"/>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f t="shared" si="0"/>
        <v>0</v>
      </c>
      <c r="AB60" s="130" t="s">
        <v>203</v>
      </c>
      <c r="AC60" s="6"/>
      <c r="AD60" s="148"/>
      <c r="AE60" s="148"/>
      <c r="AF60" s="156">
        <v>77.3</v>
      </c>
      <c r="AG60" s="19"/>
      <c r="AH60" s="21"/>
      <c r="AI60" s="19">
        <f>-SUM(AI52:AI59)</f>
        <v>-6.0863999999999994</v>
      </c>
      <c r="AJ60" s="21">
        <f>-AI60*AF60/100</f>
        <v>4.7047871999999993</v>
      </c>
      <c r="AK60" s="22">
        <f t="shared" ref="AK60:AK61" si="11">SUM(AL60:AT60)</f>
        <v>4.7047872000000002</v>
      </c>
      <c r="AL60" s="30">
        <f>AJ60*63.8%</f>
        <v>3.0016542335999996</v>
      </c>
      <c r="AM60" s="30">
        <f>AJ60*9.6%</f>
        <v>0.45165957119999994</v>
      </c>
      <c r="AN60" s="20">
        <f>AJ60*12.9%</f>
        <v>0.60691754879999993</v>
      </c>
      <c r="AO60" s="20">
        <f>AJ60*7%</f>
        <v>0.32933510399999999</v>
      </c>
      <c r="AP60" s="20">
        <f>AJ60*0%</f>
        <v>0</v>
      </c>
      <c r="AQ60" s="20">
        <f>AJ60*4.8%</f>
        <v>0.22582978559999997</v>
      </c>
      <c r="AR60" s="20">
        <f>AJ60*1.9%</f>
        <v>8.939095679999999E-2</v>
      </c>
      <c r="AS60" s="153"/>
      <c r="AT60" s="21"/>
    </row>
    <row r="61" spans="1:46" ht="15" customHeight="1" x14ac:dyDescent="0.2">
      <c r="A61" s="19"/>
      <c r="B61" s="20"/>
      <c r="C61" s="20"/>
      <c r="D61" s="20"/>
      <c r="E61" s="20"/>
      <c r="F61" s="172"/>
      <c r="G61" s="172"/>
      <c r="H61" s="153">
        <f>AA61-S61</f>
        <v>635.67954246072873</v>
      </c>
      <c r="I61" s="172"/>
      <c r="J61" s="172"/>
      <c r="K61" s="172"/>
      <c r="L61" s="172"/>
      <c r="M61" s="172"/>
      <c r="N61" s="172"/>
      <c r="O61" s="172"/>
      <c r="P61" s="172"/>
      <c r="Q61" s="172"/>
      <c r="R61" s="172"/>
      <c r="S61" s="153">
        <f>AA61*0.3%</f>
        <v>1.9127769582569569</v>
      </c>
      <c r="T61" s="174"/>
      <c r="U61" s="20"/>
      <c r="V61" s="20"/>
      <c r="W61" s="20"/>
      <c r="X61" s="20"/>
      <c r="Y61" s="20"/>
      <c r="Z61" s="20"/>
      <c r="AA61" s="153">
        <v>637.59231941898565</v>
      </c>
      <c r="AB61" s="130" t="s">
        <v>204</v>
      </c>
      <c r="AC61" s="170"/>
      <c r="AD61" s="174">
        <v>19</v>
      </c>
      <c r="AE61" s="174"/>
      <c r="AF61" s="21"/>
      <c r="AG61" s="19"/>
      <c r="AH61" s="21"/>
      <c r="AI61" s="19"/>
      <c r="AJ61" s="21"/>
      <c r="AK61" s="22">
        <f t="shared" si="11"/>
        <v>121.14254068960727</v>
      </c>
      <c r="AL61" s="30"/>
      <c r="AM61" s="20"/>
      <c r="AN61" s="20"/>
      <c r="AO61" s="20"/>
      <c r="AP61" s="20"/>
      <c r="AQ61" s="20"/>
      <c r="AR61" s="20"/>
      <c r="AS61" s="20"/>
      <c r="AT61" s="21">
        <f>AA61*AD61/100</f>
        <v>121.14254068960727</v>
      </c>
    </row>
    <row r="62" spans="1:46" ht="15" customHeight="1" x14ac:dyDescent="0.2">
      <c r="A62" s="19"/>
      <c r="B62" s="20"/>
      <c r="C62" s="20"/>
      <c r="D62" s="20"/>
      <c r="E62" s="20"/>
      <c r="F62" s="153">
        <f>AA62-S62</f>
        <v>616.02956705153497</v>
      </c>
      <c r="G62" s="172"/>
      <c r="H62" s="172"/>
      <c r="I62" s="172"/>
      <c r="J62" s="172"/>
      <c r="K62" s="172"/>
      <c r="L62" s="172"/>
      <c r="M62" s="172"/>
      <c r="N62" s="172"/>
      <c r="O62" s="172"/>
      <c r="P62" s="172"/>
      <c r="Q62" s="172"/>
      <c r="R62" s="172"/>
      <c r="S62" s="153">
        <f>AA62*0.2%</f>
        <v>1.2345281904840382</v>
      </c>
      <c r="T62" s="174"/>
      <c r="U62" s="20"/>
      <c r="V62" s="20"/>
      <c r="W62" s="20"/>
      <c r="X62" s="20"/>
      <c r="Y62" s="20"/>
      <c r="Z62" s="20"/>
      <c r="AA62" s="153">
        <v>617.26409524201904</v>
      </c>
      <c r="AB62" s="130" t="s">
        <v>205</v>
      </c>
      <c r="AC62" s="170"/>
      <c r="AD62" s="174">
        <v>24.3</v>
      </c>
      <c r="AE62" s="174"/>
      <c r="AF62" s="21"/>
      <c r="AG62" s="19"/>
      <c r="AH62" s="21"/>
      <c r="AI62" s="19"/>
      <c r="AJ62" s="21"/>
      <c r="AK62" s="22">
        <f t="shared" ref="AK62:AK80" si="12">SUM(AL62:AT62)</f>
        <v>149.99517514381063</v>
      </c>
      <c r="AL62" s="30"/>
      <c r="AM62" s="20"/>
      <c r="AN62" s="20"/>
      <c r="AO62" s="20"/>
      <c r="AP62" s="20"/>
      <c r="AQ62" s="20"/>
      <c r="AR62" s="20"/>
      <c r="AS62" s="20"/>
      <c r="AT62" s="21">
        <f>AA62*AD62/100</f>
        <v>149.99517514381063</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f t="shared" ref="AA63:AA66" si="13">SUM(A63:Z63)</f>
        <v>0</v>
      </c>
      <c r="AB63" s="128" t="s">
        <v>649</v>
      </c>
      <c r="AC63" s="170"/>
      <c r="AD63" s="174">
        <v>22.6</v>
      </c>
      <c r="AE63" s="174"/>
      <c r="AF63" s="21"/>
      <c r="AG63" s="19"/>
      <c r="AH63" s="21"/>
      <c r="AI63" s="19"/>
      <c r="AJ63" s="21"/>
      <c r="AK63" s="22">
        <f t="shared" si="12"/>
        <v>0</v>
      </c>
      <c r="AL63" s="30"/>
      <c r="AM63" s="20"/>
      <c r="AN63" s="20"/>
      <c r="AO63" s="20"/>
      <c r="AP63" s="20"/>
      <c r="AQ63" s="20"/>
      <c r="AR63" s="20"/>
      <c r="AS63" s="20"/>
      <c r="AT63" s="21">
        <f>AA63*AD63/100</f>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f t="shared" si="13"/>
        <v>0</v>
      </c>
      <c r="AB64" s="129" t="s">
        <v>650</v>
      </c>
      <c r="AC64" s="170">
        <v>67.7</v>
      </c>
      <c r="AD64" s="174"/>
      <c r="AE64" s="174"/>
      <c r="AF64" s="21"/>
      <c r="AG64" s="19">
        <f t="shared" ref="AG64:AG65" si="14">-AH64/$D$2%</f>
        <v>0</v>
      </c>
      <c r="AH64" s="153">
        <v>0</v>
      </c>
      <c r="AI64" s="19"/>
      <c r="AJ64" s="21"/>
      <c r="AK64" s="22">
        <f t="shared" ref="AK64" si="15">SUM(AL64:AT64)</f>
        <v>0</v>
      </c>
      <c r="AL64" s="30"/>
      <c r="AM64" s="20"/>
      <c r="AN64" s="20"/>
      <c r="AO64" s="20"/>
      <c r="AP64" s="20"/>
      <c r="AQ64" s="20"/>
      <c r="AR64" s="20"/>
      <c r="AS64" s="20"/>
      <c r="AT64" s="21">
        <f>AH64*AC64%</f>
        <v>0</v>
      </c>
    </row>
    <row r="65" spans="1:46" ht="15" customHeight="1" x14ac:dyDescent="0.2">
      <c r="A65" s="19"/>
      <c r="B65" s="20"/>
      <c r="C65" s="20"/>
      <c r="D65" s="20"/>
      <c r="E65" s="20"/>
      <c r="F65" s="153"/>
      <c r="G65" s="172"/>
      <c r="H65" s="172">
        <f>AA65-S65</f>
        <v>0</v>
      </c>
      <c r="I65" s="172"/>
      <c r="J65" s="172"/>
      <c r="K65" s="172"/>
      <c r="L65" s="172"/>
      <c r="M65" s="172"/>
      <c r="N65" s="172"/>
      <c r="O65" s="172"/>
      <c r="P65" s="172"/>
      <c r="Q65" s="172"/>
      <c r="R65" s="172"/>
      <c r="S65" s="153">
        <f>AA65*0.2%</f>
        <v>0</v>
      </c>
      <c r="T65" s="174"/>
      <c r="U65" s="20"/>
      <c r="V65" s="20"/>
      <c r="W65" s="20"/>
      <c r="X65" s="20"/>
      <c r="Y65" s="20"/>
      <c r="Z65" s="20"/>
      <c r="AA65" s="153">
        <v>0</v>
      </c>
      <c r="AB65" s="130" t="s">
        <v>645</v>
      </c>
      <c r="AC65" s="170">
        <f>AC64</f>
        <v>67.7</v>
      </c>
      <c r="AD65" s="174">
        <v>19</v>
      </c>
      <c r="AE65" s="174"/>
      <c r="AF65" s="21"/>
      <c r="AG65" s="19">
        <f t="shared" si="14"/>
        <v>0</v>
      </c>
      <c r="AH65" s="153">
        <f>AA65*AD65%/AC65%</f>
        <v>0</v>
      </c>
      <c r="AI65" s="19"/>
      <c r="AJ65" s="21"/>
      <c r="AK65" s="22">
        <f t="shared" si="12"/>
        <v>0</v>
      </c>
      <c r="AL65" s="30"/>
      <c r="AM65" s="20"/>
      <c r="AN65" s="20"/>
      <c r="AO65" s="20"/>
      <c r="AP65" s="20"/>
      <c r="AQ65" s="20"/>
      <c r="AR65" s="20"/>
      <c r="AS65" s="20"/>
      <c r="AT65" s="21">
        <f>AH65*AC65%+AA65*AD65%</f>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f t="shared" si="13"/>
        <v>0</v>
      </c>
      <c r="AB66" s="128" t="s">
        <v>644</v>
      </c>
      <c r="AC66" s="170"/>
      <c r="AD66" s="174">
        <v>36.4</v>
      </c>
      <c r="AE66" s="174"/>
      <c r="AF66" s="21"/>
      <c r="AG66" s="19"/>
      <c r="AH66" s="21"/>
      <c r="AI66" s="19"/>
      <c r="AJ66" s="21"/>
      <c r="AK66" s="22">
        <f t="shared" si="12"/>
        <v>0</v>
      </c>
      <c r="AL66" s="30"/>
      <c r="AM66" s="20"/>
      <c r="AN66" s="20"/>
      <c r="AO66" s="20"/>
      <c r="AP66" s="20"/>
      <c r="AQ66" s="20"/>
      <c r="AR66" s="20"/>
      <c r="AS66" s="20"/>
      <c r="AT66" s="21">
        <f>AA66*AD66%</f>
        <v>0</v>
      </c>
    </row>
    <row r="67" spans="1:46" ht="15" customHeight="1" x14ac:dyDescent="0.2">
      <c r="A67" s="19"/>
      <c r="B67" s="20"/>
      <c r="C67" s="20"/>
      <c r="D67" s="20"/>
      <c r="E67" s="20"/>
      <c r="F67" s="153">
        <f>AA67-S67</f>
        <v>17.04664695982563</v>
      </c>
      <c r="G67" s="172"/>
      <c r="H67" s="172"/>
      <c r="I67" s="172"/>
      <c r="J67" s="172"/>
      <c r="K67" s="172"/>
      <c r="L67" s="172"/>
      <c r="M67" s="172"/>
      <c r="N67" s="172"/>
      <c r="O67" s="172"/>
      <c r="P67" s="172"/>
      <c r="Q67" s="172"/>
      <c r="R67" s="172"/>
      <c r="S67" s="153">
        <f>AA67*0.2%</f>
        <v>3.4161617153959177E-2</v>
      </c>
      <c r="T67" s="174"/>
      <c r="U67" s="20"/>
      <c r="V67" s="20"/>
      <c r="W67" s="20"/>
      <c r="X67" s="20"/>
      <c r="Y67" s="20"/>
      <c r="Z67" s="20"/>
      <c r="AA67" s="153">
        <v>17.080808576979589</v>
      </c>
      <c r="AB67" s="131" t="s">
        <v>206</v>
      </c>
      <c r="AC67" s="170"/>
      <c r="AD67" s="174">
        <v>29.6</v>
      </c>
      <c r="AE67" s="174"/>
      <c r="AF67" s="21"/>
      <c r="AG67" s="19">
        <f>-AH67/$D$2%</f>
        <v>0</v>
      </c>
      <c r="AH67" s="21"/>
      <c r="AI67" s="19"/>
      <c r="AJ67" s="21"/>
      <c r="AK67" s="22">
        <f t="shared" si="12"/>
        <v>5.0559193387859587</v>
      </c>
      <c r="AL67" s="30"/>
      <c r="AM67" s="20"/>
      <c r="AN67" s="20"/>
      <c r="AO67" s="20"/>
      <c r="AP67" s="20"/>
      <c r="AQ67" s="20"/>
      <c r="AR67" s="20"/>
      <c r="AS67" s="20"/>
      <c r="AT67" s="21">
        <f>AA67*AD67%</f>
        <v>5.0559193387859587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f t="shared" ref="AA68:AA70" si="16">SUM(A68:Z68)</f>
        <v>0</v>
      </c>
      <c r="AB68" s="676" t="s">
        <v>640</v>
      </c>
      <c r="AC68" s="170"/>
      <c r="AD68" s="174">
        <v>26.1</v>
      </c>
      <c r="AE68" s="174"/>
      <c r="AF68" s="21"/>
      <c r="AG68" s="19"/>
      <c r="AH68" s="21"/>
      <c r="AI68" s="19"/>
      <c r="AJ68" s="21"/>
      <c r="AK68" s="22">
        <f t="shared" si="12"/>
        <v>0</v>
      </c>
      <c r="AL68" s="30"/>
      <c r="AM68" s="20"/>
      <c r="AN68" s="20"/>
      <c r="AO68" s="20"/>
      <c r="AP68" s="20"/>
      <c r="AQ68" s="20"/>
      <c r="AR68" s="20"/>
      <c r="AS68" s="20"/>
      <c r="AT68" s="21">
        <f>AA68*AD68%</f>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f t="shared" si="16"/>
        <v>0</v>
      </c>
      <c r="AB69" s="676" t="s">
        <v>641</v>
      </c>
      <c r="AC69" s="170"/>
      <c r="AD69" s="174">
        <v>36.4</v>
      </c>
      <c r="AE69" s="174"/>
      <c r="AF69" s="21"/>
      <c r="AG69" s="19"/>
      <c r="AH69" s="21"/>
      <c r="AI69" s="19"/>
      <c r="AJ69" s="21"/>
      <c r="AK69" s="22">
        <f t="shared" si="12"/>
        <v>0</v>
      </c>
      <c r="AL69" s="30"/>
      <c r="AM69" s="20"/>
      <c r="AN69" s="20"/>
      <c r="AO69" s="20"/>
      <c r="AP69" s="20"/>
      <c r="AQ69" s="20"/>
      <c r="AR69" s="20"/>
      <c r="AS69" s="20"/>
      <c r="AT69" s="21">
        <f t="shared" ref="AT69" si="17">AA69*AD69%</f>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f t="shared" si="16"/>
        <v>0</v>
      </c>
      <c r="AB70" s="131" t="s">
        <v>651</v>
      </c>
      <c r="AC70" s="170">
        <v>67.7</v>
      </c>
      <c r="AD70" s="174"/>
      <c r="AE70" s="174"/>
      <c r="AF70" s="21"/>
      <c r="AG70" s="19">
        <f t="shared" ref="AG70" si="18">-AH70/$D$2%</f>
        <v>0</v>
      </c>
      <c r="AH70" s="153"/>
      <c r="AI70" s="19"/>
      <c r="AJ70" s="21"/>
      <c r="AK70" s="22">
        <f t="shared" ref="AK70:AK79" si="19">SUM(AL70:AT70)</f>
        <v>0</v>
      </c>
      <c r="AL70" s="30"/>
      <c r="AM70" s="20"/>
      <c r="AN70" s="20"/>
      <c r="AO70" s="20"/>
      <c r="AP70" s="20"/>
      <c r="AQ70" s="20"/>
      <c r="AR70" s="20"/>
      <c r="AS70" s="20"/>
      <c r="AT70" s="21">
        <f>AH70*AC70%</f>
        <v>0</v>
      </c>
    </row>
    <row r="71" spans="1:46" ht="15" customHeight="1" x14ac:dyDescent="0.2">
      <c r="A71" s="19"/>
      <c r="B71" s="20"/>
      <c r="C71" s="20"/>
      <c r="D71" s="20"/>
      <c r="E71" s="20"/>
      <c r="F71" s="153">
        <f>AA71-S71</f>
        <v>543.91784592529007</v>
      </c>
      <c r="G71" s="172"/>
      <c r="H71" s="172"/>
      <c r="I71" s="172"/>
      <c r="J71" s="172"/>
      <c r="K71" s="172"/>
      <c r="L71" s="172"/>
      <c r="M71" s="172"/>
      <c r="N71" s="172"/>
      <c r="O71" s="172"/>
      <c r="P71" s="172"/>
      <c r="Q71" s="172"/>
      <c r="R71" s="172"/>
      <c r="S71" s="153">
        <f>AA71*0.2%</f>
        <v>1.0900157232971743</v>
      </c>
      <c r="T71" s="174"/>
      <c r="U71" s="20"/>
      <c r="V71" s="20"/>
      <c r="W71" s="20"/>
      <c r="X71" s="20"/>
      <c r="Y71" s="20"/>
      <c r="Z71" s="20"/>
      <c r="AA71" s="697">
        <v>545.00786164858721</v>
      </c>
      <c r="AB71" s="131" t="s">
        <v>207</v>
      </c>
      <c r="AC71" s="170"/>
      <c r="AD71" s="174">
        <v>36.5</v>
      </c>
      <c r="AE71" s="174"/>
      <c r="AF71" s="21"/>
      <c r="AG71" s="19"/>
      <c r="AH71" s="169"/>
      <c r="AI71" s="19"/>
      <c r="AJ71" s="21"/>
      <c r="AK71" s="22">
        <f t="shared" si="19"/>
        <v>198.92786950173434</v>
      </c>
      <c r="AL71" s="30"/>
      <c r="AM71" s="20"/>
      <c r="AN71" s="20"/>
      <c r="AO71" s="20"/>
      <c r="AP71" s="20"/>
      <c r="AQ71" s="20"/>
      <c r="AR71" s="20"/>
      <c r="AS71" s="20"/>
      <c r="AT71" s="21">
        <f>AA71*AD71%</f>
        <v>198.92786950173434</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f t="shared" ref="AA72:AA74" si="20">SUM(A72:Z72)</f>
        <v>0</v>
      </c>
      <c r="AB72" s="676" t="s">
        <v>642</v>
      </c>
      <c r="AC72" s="170"/>
      <c r="AD72" s="174">
        <v>32.200000000000003</v>
      </c>
      <c r="AE72" s="174"/>
      <c r="AF72" s="21"/>
      <c r="AG72" s="19"/>
      <c r="AH72" s="169"/>
      <c r="AI72" s="19"/>
      <c r="AJ72" s="21"/>
      <c r="AK72" s="22">
        <f t="shared" si="19"/>
        <v>0</v>
      </c>
      <c r="AL72" s="30"/>
      <c r="AM72" s="20"/>
      <c r="AN72" s="20"/>
      <c r="AO72" s="20"/>
      <c r="AP72" s="20"/>
      <c r="AQ72" s="20"/>
      <c r="AR72" s="20"/>
      <c r="AS72" s="20"/>
      <c r="AT72" s="21">
        <f>AA72*AD72%</f>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f t="shared" si="20"/>
        <v>0</v>
      </c>
      <c r="AB73" s="676" t="s">
        <v>643</v>
      </c>
      <c r="AC73" s="170"/>
      <c r="AD73" s="174">
        <v>36.4</v>
      </c>
      <c r="AE73" s="174"/>
      <c r="AF73" s="21"/>
      <c r="AG73" s="19"/>
      <c r="AH73" s="169"/>
      <c r="AI73" s="19"/>
      <c r="AJ73" s="21"/>
      <c r="AK73" s="22">
        <f t="shared" si="19"/>
        <v>0</v>
      </c>
      <c r="AL73" s="30"/>
      <c r="AM73" s="20"/>
      <c r="AN73" s="20"/>
      <c r="AO73" s="20"/>
      <c r="AP73" s="20"/>
      <c r="AQ73" s="20"/>
      <c r="AR73" s="20"/>
      <c r="AS73" s="20"/>
      <c r="AT73" s="21">
        <f t="shared" ref="AT73" si="21">AA73*AD73%</f>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f t="shared" si="20"/>
        <v>0</v>
      </c>
      <c r="AB74" s="131" t="s">
        <v>652</v>
      </c>
      <c r="AC74" s="170">
        <f>AC70</f>
        <v>67.7</v>
      </c>
      <c r="AD74" s="174"/>
      <c r="AE74" s="174"/>
      <c r="AF74" s="21"/>
      <c r="AG74" s="19">
        <f t="shared" ref="AG74" si="22">-AH74/$D$2%</f>
        <v>0</v>
      </c>
      <c r="AH74" s="153"/>
      <c r="AI74" s="19"/>
      <c r="AJ74" s="21"/>
      <c r="AK74" s="22">
        <f t="shared" si="19"/>
        <v>0</v>
      </c>
      <c r="AL74" s="30"/>
      <c r="AM74" s="20"/>
      <c r="AN74" s="20"/>
      <c r="AO74" s="20"/>
      <c r="AP74" s="20"/>
      <c r="AQ74" s="20"/>
      <c r="AR74" s="20"/>
      <c r="AS74" s="20"/>
      <c r="AT74" s="21">
        <f>AH74*AC74%</f>
        <v>0</v>
      </c>
    </row>
    <row r="75" spans="1:46" ht="15" customHeight="1" x14ac:dyDescent="0.2">
      <c r="A75" s="19"/>
      <c r="B75" s="20"/>
      <c r="C75" s="20"/>
      <c r="D75" s="20"/>
      <c r="E75" s="20"/>
      <c r="F75" s="153">
        <v>271.27914665963829</v>
      </c>
      <c r="G75" s="2"/>
      <c r="H75" s="2"/>
      <c r="I75" s="2"/>
      <c r="J75" s="2"/>
      <c r="K75" s="2"/>
      <c r="L75" s="2"/>
      <c r="M75" s="2"/>
      <c r="N75" s="2"/>
      <c r="O75" s="2"/>
      <c r="P75" s="2"/>
      <c r="Q75" s="2"/>
      <c r="R75" s="2"/>
      <c r="S75" s="153"/>
      <c r="T75" s="20"/>
      <c r="U75" s="20"/>
      <c r="V75" s="20"/>
      <c r="W75" s="20"/>
      <c r="X75" s="20"/>
      <c r="Y75" s="20"/>
      <c r="Z75" s="20"/>
      <c r="AA75" s="29">
        <f t="shared" si="0"/>
        <v>271.27914665963829</v>
      </c>
      <c r="AB75" s="131" t="s">
        <v>208</v>
      </c>
      <c r="AC75" s="170"/>
      <c r="AD75" s="174">
        <v>36.5</v>
      </c>
      <c r="AE75" s="174"/>
      <c r="AF75" s="21"/>
      <c r="AG75" s="19"/>
      <c r="AH75" s="21"/>
      <c r="AI75" s="19"/>
      <c r="AJ75" s="21"/>
      <c r="AK75" s="22">
        <f t="shared" si="19"/>
        <v>99.016888530767972</v>
      </c>
      <c r="AL75" s="30"/>
      <c r="AM75" s="20"/>
      <c r="AN75" s="20"/>
      <c r="AO75" s="20"/>
      <c r="AP75" s="20"/>
      <c r="AQ75" s="20"/>
      <c r="AR75" s="20"/>
      <c r="AS75" s="20">
        <f>AA75*AD75%</f>
        <v>99.016888530767972</v>
      </c>
      <c r="AT75" s="21"/>
    </row>
    <row r="76" spans="1:46" ht="15" customHeight="1" x14ac:dyDescent="0.2">
      <c r="A76" s="19"/>
      <c r="B76" s="20"/>
      <c r="C76" s="20"/>
      <c r="D76" s="20"/>
      <c r="E76" s="20"/>
      <c r="F76" s="153">
        <f>AA76-S76</f>
        <v>0</v>
      </c>
      <c r="G76" s="2"/>
      <c r="H76" s="2"/>
      <c r="I76" s="2"/>
      <c r="J76" s="2"/>
      <c r="K76" s="2"/>
      <c r="L76" s="2"/>
      <c r="M76" s="2"/>
      <c r="N76" s="2"/>
      <c r="O76" s="2"/>
      <c r="P76" s="2"/>
      <c r="Q76" s="2"/>
      <c r="R76" s="2"/>
      <c r="S76" s="153">
        <f>AA76*0.215%</f>
        <v>0</v>
      </c>
      <c r="T76" s="20"/>
      <c r="U76" s="20"/>
      <c r="V76" s="20"/>
      <c r="W76" s="20"/>
      <c r="X76" s="20"/>
      <c r="Y76" s="20"/>
      <c r="Z76" s="20"/>
      <c r="AA76" s="25"/>
      <c r="AB76" s="676" t="s">
        <v>671</v>
      </c>
      <c r="AC76" s="170"/>
      <c r="AD76" s="174">
        <v>12</v>
      </c>
      <c r="AE76" s="174"/>
      <c r="AF76" s="21"/>
      <c r="AG76" s="19"/>
      <c r="AH76" s="21"/>
      <c r="AI76" s="19"/>
      <c r="AJ76" s="21"/>
      <c r="AK76" s="22">
        <f t="shared" si="19"/>
        <v>0</v>
      </c>
      <c r="AL76" s="30"/>
      <c r="AM76" s="20"/>
      <c r="AN76" s="20"/>
      <c r="AO76" s="20"/>
      <c r="AP76" s="20"/>
      <c r="AQ76" s="20"/>
      <c r="AR76" s="20"/>
      <c r="AS76" s="20"/>
      <c r="AT76" s="21">
        <f>AA76*AD76%</f>
        <v>0</v>
      </c>
    </row>
    <row r="77" spans="1:46" ht="15" customHeight="1" x14ac:dyDescent="0.2">
      <c r="A77" s="19"/>
      <c r="B77" s="20"/>
      <c r="C77" s="20"/>
      <c r="D77" s="20"/>
      <c r="E77" s="20"/>
      <c r="F77" s="153">
        <f>AA77-S77</f>
        <v>27.241305000000001</v>
      </c>
      <c r="G77" s="172"/>
      <c r="H77" s="172"/>
      <c r="I77" s="172"/>
      <c r="J77" s="2"/>
      <c r="K77" s="2"/>
      <c r="L77" s="2"/>
      <c r="M77" s="172"/>
      <c r="N77" s="172"/>
      <c r="O77" s="172"/>
      <c r="P77" s="172"/>
      <c r="Q77" s="172"/>
      <c r="R77" s="172"/>
      <c r="S77" s="153">
        <f>AA77*0.215%</f>
        <v>5.8695000000000004E-2</v>
      </c>
      <c r="T77" s="20"/>
      <c r="U77" s="20"/>
      <c r="V77" s="20"/>
      <c r="W77" s="20"/>
      <c r="X77" s="20"/>
      <c r="Y77" s="20"/>
      <c r="Z77" s="20"/>
      <c r="AA77" s="25">
        <v>27.3</v>
      </c>
      <c r="AB77" s="676" t="s">
        <v>672</v>
      </c>
      <c r="AC77" s="170"/>
      <c r="AD77" s="174">
        <v>25</v>
      </c>
      <c r="AE77" s="174"/>
      <c r="AF77" s="21"/>
      <c r="AG77" s="19"/>
      <c r="AH77" s="21"/>
      <c r="AI77" s="19"/>
      <c r="AJ77" s="21"/>
      <c r="AK77" s="22">
        <f t="shared" si="19"/>
        <v>6.8250000000000002</v>
      </c>
      <c r="AL77" s="30"/>
      <c r="AM77" s="20"/>
      <c r="AN77" s="20"/>
      <c r="AO77" s="20"/>
      <c r="AP77" s="20"/>
      <c r="AQ77" s="20"/>
      <c r="AR77" s="20"/>
      <c r="AS77" s="20"/>
      <c r="AT77" s="21">
        <f>AA77*AD77%</f>
        <v>6.8250000000000002</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f>SUM(A78:Z78)</f>
        <v>0</v>
      </c>
      <c r="AB78" s="676" t="s">
        <v>673</v>
      </c>
      <c r="AC78" s="687">
        <v>67</v>
      </c>
      <c r="AD78" s="174"/>
      <c r="AE78" s="184"/>
      <c r="AF78" s="41"/>
      <c r="AG78" s="19">
        <f t="shared" ref="AG78" si="23">-AH78/$D$2%</f>
        <v>0</v>
      </c>
      <c r="AH78" s="701">
        <v>0</v>
      </c>
      <c r="AI78" s="38"/>
      <c r="AJ78" s="41"/>
      <c r="AK78" s="22">
        <f t="shared" si="19"/>
        <v>0</v>
      </c>
      <c r="AL78" s="42"/>
      <c r="AM78" s="39"/>
      <c r="AN78" s="39"/>
      <c r="AO78" s="39"/>
      <c r="AP78" s="39"/>
      <c r="AQ78" s="39"/>
      <c r="AR78" s="39"/>
      <c r="AS78" s="39"/>
      <c r="AT78" s="21">
        <f>AC78*AH78%</f>
        <v>0</v>
      </c>
    </row>
    <row r="79" spans="1:46" ht="15" customHeight="1" x14ac:dyDescent="0.2">
      <c r="A79" s="38"/>
      <c r="B79" s="39"/>
      <c r="C79" s="39"/>
      <c r="D79" s="184"/>
      <c r="E79" s="184"/>
      <c r="F79" s="184"/>
      <c r="G79" s="154">
        <v>309.3</v>
      </c>
      <c r="H79" s="153">
        <v>0.7</v>
      </c>
      <c r="I79" s="184"/>
      <c r="J79" s="40"/>
      <c r="K79" s="40"/>
      <c r="L79" s="40"/>
      <c r="M79" s="184"/>
      <c r="N79" s="39"/>
      <c r="O79" s="39"/>
      <c r="P79" s="39"/>
      <c r="Q79" s="39"/>
      <c r="R79" s="39"/>
      <c r="S79" s="39"/>
      <c r="T79" s="39"/>
      <c r="U79" s="39"/>
      <c r="V79" s="39"/>
      <c r="W79" s="39"/>
      <c r="X79" s="39"/>
      <c r="Y79" s="39"/>
      <c r="Z79" s="39"/>
      <c r="AA79" s="21">
        <f>SUM(A79:Z79)</f>
        <v>310</v>
      </c>
      <c r="AB79" s="131" t="s">
        <v>9</v>
      </c>
      <c r="AC79" s="687"/>
      <c r="AD79" s="174">
        <v>13.5</v>
      </c>
      <c r="AE79" s="184"/>
      <c r="AF79" s="41"/>
      <c r="AG79" s="38"/>
      <c r="AH79" s="41"/>
      <c r="AI79" s="38"/>
      <c r="AJ79" s="41"/>
      <c r="AK79" s="22">
        <f t="shared" si="19"/>
        <v>41.85</v>
      </c>
      <c r="AL79" s="42"/>
      <c r="AM79" s="39"/>
      <c r="AN79" s="39"/>
      <c r="AO79" s="39"/>
      <c r="AP79" s="39"/>
      <c r="AQ79" s="39"/>
      <c r="AR79" s="39"/>
      <c r="AS79" s="39"/>
      <c r="AT79" s="21">
        <f>AD79*AA79%</f>
        <v>41.85</v>
      </c>
    </row>
    <row r="80" spans="1:46" ht="15" customHeight="1" thickBot="1" x14ac:dyDescent="0.25">
      <c r="A80" s="38"/>
      <c r="B80" s="39"/>
      <c r="C80" s="39"/>
      <c r="D80" s="154">
        <v>9.1999999999999993</v>
      </c>
      <c r="E80" s="184"/>
      <c r="F80" s="154">
        <v>57</v>
      </c>
      <c r="G80" s="184"/>
      <c r="H80" s="184"/>
      <c r="I80" s="184"/>
      <c r="J80" s="40"/>
      <c r="K80" s="40"/>
      <c r="L80" s="40"/>
      <c r="M80" s="184"/>
      <c r="N80" s="39"/>
      <c r="O80" s="39"/>
      <c r="P80" s="39"/>
      <c r="Q80" s="39"/>
      <c r="R80" s="39"/>
      <c r="S80" s="39"/>
      <c r="T80" s="39"/>
      <c r="U80" s="39"/>
      <c r="V80" s="39"/>
      <c r="W80" s="39"/>
      <c r="X80" s="39"/>
      <c r="Y80" s="39"/>
      <c r="Z80" s="39"/>
      <c r="AA80" s="41">
        <f t="shared" si="0"/>
        <v>66.2</v>
      </c>
      <c r="AB80" s="132" t="s">
        <v>5</v>
      </c>
      <c r="AC80" s="688"/>
      <c r="AD80" s="174">
        <v>20</v>
      </c>
      <c r="AE80" s="689"/>
      <c r="AF80" s="45"/>
      <c r="AG80" s="43"/>
      <c r="AH80" s="45"/>
      <c r="AI80" s="43"/>
      <c r="AJ80" s="45"/>
      <c r="AK80" s="46">
        <f t="shared" si="12"/>
        <v>13.240000000000002</v>
      </c>
      <c r="AL80" s="47"/>
      <c r="AM80" s="44"/>
      <c r="AN80" s="44"/>
      <c r="AO80" s="44"/>
      <c r="AP80" s="44"/>
      <c r="AQ80" s="44"/>
      <c r="AR80" s="44"/>
      <c r="AS80" s="44"/>
      <c r="AT80" s="21">
        <f>AA80*AD80%</f>
        <v>13.240000000000002</v>
      </c>
    </row>
    <row r="81" spans="1:47" ht="15" customHeight="1" thickBot="1" x14ac:dyDescent="0.25">
      <c r="A81" s="48">
        <f t="shared" ref="A81:AA81" si="24">SUM(A8:A80)</f>
        <v>434.09936210217552</v>
      </c>
      <c r="B81" s="49">
        <f t="shared" si="24"/>
        <v>21.6</v>
      </c>
      <c r="C81" s="49">
        <f t="shared" si="24"/>
        <v>0</v>
      </c>
      <c r="D81" s="49">
        <f t="shared" si="24"/>
        <v>164</v>
      </c>
      <c r="E81" s="49">
        <f t="shared" si="24"/>
        <v>559.36</v>
      </c>
      <c r="F81" s="49">
        <f t="shared" si="24"/>
        <v>1532.5145115962887</v>
      </c>
      <c r="G81" s="49">
        <f t="shared" si="24"/>
        <v>309.3</v>
      </c>
      <c r="H81" s="49">
        <f t="shared" si="24"/>
        <v>636.37954246072877</v>
      </c>
      <c r="I81" s="49">
        <f t="shared" si="24"/>
        <v>1256.4000000000001</v>
      </c>
      <c r="J81" s="49">
        <f t="shared" si="24"/>
        <v>0</v>
      </c>
      <c r="K81" s="49">
        <f t="shared" si="24"/>
        <v>0</v>
      </c>
      <c r="L81" s="49">
        <f t="shared" si="24"/>
        <v>0</v>
      </c>
      <c r="M81" s="49">
        <f t="shared" si="24"/>
        <v>576.01</v>
      </c>
      <c r="N81" s="49">
        <f t="shared" si="24"/>
        <v>0</v>
      </c>
      <c r="O81" s="49">
        <f t="shared" si="24"/>
        <v>6.8000000000000007</v>
      </c>
      <c r="P81" s="49">
        <f t="shared" si="24"/>
        <v>0</v>
      </c>
      <c r="Q81" s="49">
        <f t="shared" si="24"/>
        <v>1.5739539993640701</v>
      </c>
      <c r="R81" s="49">
        <f t="shared" si="24"/>
        <v>17.7422</v>
      </c>
      <c r="S81" s="49">
        <f t="shared" si="24"/>
        <v>229.13017748919214</v>
      </c>
      <c r="T81" s="49">
        <f t="shared" si="24"/>
        <v>127</v>
      </c>
      <c r="U81" s="49">
        <f t="shared" si="24"/>
        <v>803.03</v>
      </c>
      <c r="V81" s="49">
        <f t="shared" si="24"/>
        <v>1092.8799999999999</v>
      </c>
      <c r="W81" s="49">
        <f t="shared" si="24"/>
        <v>20.8278</v>
      </c>
      <c r="X81" s="49">
        <f t="shared" si="24"/>
        <v>0</v>
      </c>
      <c r="Y81" s="49">
        <f t="shared" si="24"/>
        <v>2.9</v>
      </c>
      <c r="Z81" s="49">
        <f t="shared" si="24"/>
        <v>0</v>
      </c>
      <c r="AA81" s="50">
        <f t="shared" si="24"/>
        <v>7791.5475476477486</v>
      </c>
      <c r="AB81" s="51" t="s">
        <v>1</v>
      </c>
      <c r="AC81" s="52"/>
      <c r="AD81" s="52"/>
      <c r="AE81" s="52"/>
      <c r="AF81" s="52"/>
      <c r="AG81" s="48">
        <f t="shared" ref="AG81:AT81" si="25">SUM(AG8:AG80)</f>
        <v>1.8118839761882555E-13</v>
      </c>
      <c r="AH81" s="50">
        <f t="shared" si="25"/>
        <v>1060.5880841125004</v>
      </c>
      <c r="AI81" s="48">
        <f t="shared" si="25"/>
        <v>0</v>
      </c>
      <c r="AJ81" s="50">
        <f t="shared" si="25"/>
        <v>731.07149056000003</v>
      </c>
      <c r="AK81" s="51">
        <f t="shared" si="25"/>
        <v>4648.5187985373732</v>
      </c>
      <c r="AL81" s="53">
        <f t="shared" si="25"/>
        <v>2277.9307020871775</v>
      </c>
      <c r="AM81" s="49">
        <f t="shared" si="25"/>
        <v>172.12100740119598</v>
      </c>
      <c r="AN81" s="49">
        <f t="shared" si="25"/>
        <v>145.98577605954</v>
      </c>
      <c r="AO81" s="49">
        <f t="shared" si="25"/>
        <v>157.50361328135801</v>
      </c>
      <c r="AP81" s="49">
        <f t="shared" si="25"/>
        <v>9.3667586241959988</v>
      </c>
      <c r="AQ81" s="49">
        <f t="shared" si="25"/>
        <v>1091.5645718665799</v>
      </c>
      <c r="AR81" s="49">
        <f t="shared" si="25"/>
        <v>19.878799463079996</v>
      </c>
      <c r="AS81" s="49">
        <f t="shared" si="25"/>
        <v>235.25946508030796</v>
      </c>
      <c r="AT81" s="50">
        <f t="shared" si="25"/>
        <v>538.90810467393817</v>
      </c>
    </row>
    <row r="82" spans="1:47" ht="15" customHeight="1" x14ac:dyDescent="0.25">
      <c r="A82" s="26">
        <f t="shared" ref="A82:Y82" si="26">A81*A89/1000</f>
        <v>91.338846779918754</v>
      </c>
      <c r="B82" s="28">
        <f t="shared" si="26"/>
        <v>1.39968</v>
      </c>
      <c r="C82" s="28">
        <f t="shared" si="26"/>
        <v>0</v>
      </c>
      <c r="D82" s="28">
        <f t="shared" si="26"/>
        <v>12.96092</v>
      </c>
      <c r="E82" s="28">
        <f t="shared" si="26"/>
        <v>41.448576000000003</v>
      </c>
      <c r="F82" s="28">
        <f t="shared" si="26"/>
        <v>113.55932530928497</v>
      </c>
      <c r="G82" s="28">
        <f t="shared" si="26"/>
        <v>22.269600000000001</v>
      </c>
      <c r="H82" s="28">
        <f t="shared" si="26"/>
        <v>46.455706599633203</v>
      </c>
      <c r="I82" s="28">
        <f t="shared" si="26"/>
        <v>71.225316000000007</v>
      </c>
      <c r="J82" s="27"/>
      <c r="K82" s="27"/>
      <c r="L82" s="27"/>
      <c r="M82" s="28">
        <f t="shared" si="26"/>
        <v>0</v>
      </c>
      <c r="N82" s="28">
        <f t="shared" si="26"/>
        <v>0</v>
      </c>
      <c r="O82" s="28">
        <f t="shared" si="26"/>
        <v>0</v>
      </c>
      <c r="P82" s="28">
        <f t="shared" si="26"/>
        <v>0</v>
      </c>
      <c r="Q82" s="28">
        <v>0</v>
      </c>
      <c r="R82" s="28">
        <f t="shared" si="26"/>
        <v>0</v>
      </c>
      <c r="S82" s="28">
        <f t="shared" si="26"/>
        <v>0</v>
      </c>
      <c r="T82" s="28">
        <f t="shared" si="26"/>
        <v>0</v>
      </c>
      <c r="U82" s="28">
        <f t="shared" si="26"/>
        <v>0</v>
      </c>
      <c r="V82" s="28">
        <f t="shared" si="26"/>
        <v>0</v>
      </c>
      <c r="W82" s="28">
        <f t="shared" si="26"/>
        <v>0</v>
      </c>
      <c r="X82" s="28">
        <f t="shared" si="26"/>
        <v>0</v>
      </c>
      <c r="Y82" s="28">
        <f t="shared" si="26"/>
        <v>0</v>
      </c>
      <c r="Z82" s="28">
        <f>Z81*Z89/1000</f>
        <v>0</v>
      </c>
      <c r="AA82" s="29">
        <f>SUM(A82:Z82)</f>
        <v>400.65797068883694</v>
      </c>
      <c r="AB82" s="54" t="s">
        <v>30</v>
      </c>
      <c r="AC82" s="55">
        <f>AA82*1000/D1</f>
        <v>8.2951960805142217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486.23102905335583</v>
      </c>
      <c r="S83" s="153">
        <v>772</v>
      </c>
      <c r="T83" s="153">
        <v>515.99761191656501</v>
      </c>
      <c r="U83" s="153">
        <v>364.37178342551363</v>
      </c>
      <c r="V83" s="20"/>
      <c r="W83" s="20"/>
      <c r="X83" s="20"/>
      <c r="Y83" s="20"/>
      <c r="Z83" s="20"/>
      <c r="AA83" s="21">
        <f>SUM(A83:Z83)</f>
        <v>2138.6004243954344</v>
      </c>
      <c r="AB83" s="22" t="s">
        <v>653</v>
      </c>
      <c r="AC83" s="677">
        <f>(SUM(M11:Y11)+AG12*A87%+SUM(M16:Y16)+SUM(M17:Y17)+SUM(M18:Y18)+SUM(M19:Y19)+SUM(M22:Y22)+SUM(M61:Y61)+SUM(M62:Y62)+SUM(M63:Y63)+SUM(M65:Y65)+SUM(M66:Y66)+SUM(M67:Y67)+SUM(M68:Y68)+SUM(M69:Y69)+SUM(M71:Y71)+SUM(M72:Y72)+SUM(M73:Y73)+SUM(M75:Y75)+SUM(M76:Y76)+SUM(M77:Y77)+SUM(M79:Y79)+SUM(M80:Y80)+SUM(M23:Y23)*(AC23%+AE23%)+SUM(M24:Y24)*(AC24%+AE24%)+SUM(M25:Y25)*(AC25%+AE25%)+SUM(M26:Y26)*(AC26%+AE26%)+SUM(M28:Y28)*(AC28%+AD28%+AE28%)+SUM(M27:Y27)*(AD27%)+SUM(M29:Y29)*(AC29%+AE29%)+SUM(M30:Y30)*(AC30%+AE30%)+SUM(M31:Y31)*(AC31%+AE31%)+SUM(M34:Y34)*(AC34%+AE34%)+SUM(M35:Y35)*(AC35%+AE35%)+SUM(M37:Y37)*(AC37%+AE37%)+SUM(M38:Y38)*(AC38%+AE38%)+SUM(M39:Y39)*(AC39%+AE39%)+SUM(M41:Y41)*(AC41%+AE41%)+SUM(M42:Y42)*(AC42%+AE42%)+SUM(M44:Y44)*(AC44%+AE44%)+SUM(M45:Y45)*(AC45%+AE45%)+SUM(M46:Y46)*(AC47%+AE47%)+SUM(M48:Y48)*(AC48%+AE48%)+SUM(M49:Y49)*(AC49%+AE49%)+SUM(M50:Y50)*(AC50%+AE50%)+SUM(M52:Y52)*(AC52%+AE52%)+SUM(M53:Y53)*(AC53%+AE53%)+SUM(M54:Y54)*(AC54%+AE54%))/(SUM(AA8:AA11)+SUM(AA13:AA22)+SUM(AA61:AA80)+(AJ33/AF33%+AJ36/AF36%+AJ43/AF43%+AJ51/AF51%+AJ60/AF60%)+AH81+SUM(AH8:AH11)*(1-D2%)+(-AI56))*100</f>
        <v>36.80657442101154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tr">
        <f>IF(M83&gt;0,M81/M83*100,"")</f>
        <v/>
      </c>
      <c r="N84" s="44" t="str">
        <f t="shared" ref="N84:Z84" si="27">IF(N83&gt;0,N81/N83*100,"")</f>
        <v/>
      </c>
      <c r="O84" s="44" t="str">
        <f t="shared" si="27"/>
        <v/>
      </c>
      <c r="P84" s="44" t="str">
        <f t="shared" si="27"/>
        <v/>
      </c>
      <c r="Q84" s="44" t="str">
        <f t="shared" si="27"/>
        <v/>
      </c>
      <c r="R84" s="44">
        <f t="shared" si="27"/>
        <v>3.6489238530379939</v>
      </c>
      <c r="S84" s="44">
        <f t="shared" si="27"/>
        <v>29.680074804299501</v>
      </c>
      <c r="T84" s="44">
        <f t="shared" si="27"/>
        <v>24.612517009194114</v>
      </c>
      <c r="U84" s="44">
        <f t="shared" si="27"/>
        <v>220.38753727047546</v>
      </c>
      <c r="V84" s="44" t="str">
        <f t="shared" si="27"/>
        <v/>
      </c>
      <c r="W84" s="44" t="str">
        <f t="shared" si="27"/>
        <v/>
      </c>
      <c r="X84" s="44" t="str">
        <f t="shared" si="27"/>
        <v/>
      </c>
      <c r="Y84" s="44" t="str">
        <f>IF(Y83&gt;0,Y81/Y83*100,"")</f>
        <v/>
      </c>
      <c r="Z84" s="44" t="str">
        <f t="shared" si="27"/>
        <v/>
      </c>
      <c r="AA84" s="45">
        <f>SUMIF(M83:Z83,"&gt;0",M81:Z81)/SUM(M83:Z83)%</f>
        <v>55.031429156378906</v>
      </c>
      <c r="AB84" s="46" t="s">
        <v>12</v>
      </c>
      <c r="AC84" s="151">
        <f>SUM(M81:Y81)/AA81*100</f>
        <v>36.936104334720852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4" t="str">
        <f t="shared" ref="B86:I86" si="28">B7</f>
        <v xml:space="preserve">  LPG og petroleum</v>
      </c>
      <c r="C86" s="754" t="str">
        <f t="shared" si="28"/>
        <v xml:space="preserve">  Kul</v>
      </c>
      <c r="D86" s="754" t="str">
        <f t="shared" si="28"/>
        <v xml:space="preserve">  Fuelolie</v>
      </c>
      <c r="E86" s="754" t="str">
        <f t="shared" si="28"/>
        <v xml:space="preserve">  Brændselsolie</v>
      </c>
      <c r="F86" s="754" t="str">
        <f t="shared" si="28"/>
        <v xml:space="preserve">  Dieselolie</v>
      </c>
      <c r="G86" s="754" t="str">
        <f t="shared" si="28"/>
        <v xml:space="preserve">  JP1</v>
      </c>
      <c r="H86" s="754" t="str">
        <f t="shared" si="28"/>
        <v xml:space="preserve">  Benzin</v>
      </c>
      <c r="I86" s="754" t="str">
        <f t="shared" si="28"/>
        <v xml:space="preserve">  Naturgas</v>
      </c>
      <c r="J86" s="673"/>
      <c r="K86" s="673"/>
      <c r="L86" s="673"/>
      <c r="M86" s="754" t="str">
        <f t="shared" ref="M86:Z86" si="29">M7</f>
        <v xml:space="preserve">  Vindenergi</v>
      </c>
      <c r="N86" s="754" t="str">
        <f t="shared" si="29"/>
        <v xml:space="preserve">  Vandenergi</v>
      </c>
      <c r="O86" s="754" t="str">
        <f t="shared" si="29"/>
        <v xml:space="preserve">  Solenergi</v>
      </c>
      <c r="P86" s="754" t="str">
        <f t="shared" si="29"/>
        <v xml:space="preserve">  Geotermi</v>
      </c>
      <c r="Q86" s="754" t="str">
        <f t="shared" si="29"/>
        <v xml:space="preserve">  Varmekilder til varmepumper</v>
      </c>
      <c r="R86" s="754" t="str">
        <f t="shared" si="29"/>
        <v xml:space="preserve">  Husdyrsgødning</v>
      </c>
      <c r="S86" s="754" t="str">
        <f t="shared" si="29"/>
        <v xml:space="preserve">  Biobrændstof og energiafgrøder</v>
      </c>
      <c r="T86" s="754" t="str">
        <f t="shared" si="29"/>
        <v xml:space="preserve">  Halm</v>
      </c>
      <c r="U86" s="754" t="str">
        <f t="shared" si="29"/>
        <v xml:space="preserve">  Brænde og træflis</v>
      </c>
      <c r="V86" s="754" t="str">
        <f t="shared" si="29"/>
        <v xml:space="preserve">  Træpiller og træaffald</v>
      </c>
      <c r="W86" s="754" t="str">
        <f t="shared" si="29"/>
        <v xml:space="preserve">  Organisk affald, industri</v>
      </c>
      <c r="X86" s="754" t="str">
        <f t="shared" si="29"/>
        <v xml:space="preserve">  Organisk affald, husholdninger</v>
      </c>
      <c r="Y86" s="754" t="str">
        <f t="shared" si="29"/>
        <v xml:space="preserve">  Deponi, slam, renseanlæg</v>
      </c>
      <c r="Z86" s="757" t="str">
        <f t="shared" si="29"/>
        <v xml:space="preserve">  Affald, ikke bionedbrydeligt</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14</v>
      </c>
      <c r="B87" s="755"/>
      <c r="C87" s="755"/>
      <c r="D87" s="755"/>
      <c r="E87" s="755"/>
      <c r="F87" s="755"/>
      <c r="G87" s="755"/>
      <c r="H87" s="755"/>
      <c r="I87" s="755"/>
      <c r="J87" s="674"/>
      <c r="K87" s="674"/>
      <c r="L87" s="674"/>
      <c r="M87" s="755"/>
      <c r="N87" s="755"/>
      <c r="O87" s="755"/>
      <c r="P87" s="755"/>
      <c r="Q87" s="755"/>
      <c r="R87" s="755"/>
      <c r="S87" s="755"/>
      <c r="T87" s="755"/>
      <c r="U87" s="755"/>
      <c r="V87" s="755"/>
      <c r="W87" s="755"/>
      <c r="X87" s="755"/>
      <c r="Y87" s="755"/>
      <c r="Z87" s="758"/>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56"/>
      <c r="C88" s="756"/>
      <c r="D88" s="756"/>
      <c r="E88" s="756"/>
      <c r="F88" s="756"/>
      <c r="G88" s="756"/>
      <c r="H88" s="756"/>
      <c r="I88" s="756"/>
      <c r="J88" s="671" t="s">
        <v>180</v>
      </c>
      <c r="K88" s="671" t="s">
        <v>181</v>
      </c>
      <c r="L88" s="671" t="s">
        <v>182</v>
      </c>
      <c r="M88" s="756"/>
      <c r="N88" s="756"/>
      <c r="O88" s="756"/>
      <c r="P88" s="756"/>
      <c r="Q88" s="756"/>
      <c r="R88" s="756"/>
      <c r="S88" s="756"/>
      <c r="T88" s="756"/>
      <c r="U88" s="756"/>
      <c r="V88" s="756"/>
      <c r="W88" s="756"/>
      <c r="X88" s="756"/>
      <c r="Y88" s="756"/>
      <c r="Z88" s="759"/>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210.41</v>
      </c>
      <c r="B89" s="186">
        <v>64.8</v>
      </c>
      <c r="C89" s="186">
        <v>94.2</v>
      </c>
      <c r="D89" s="186">
        <v>79.03</v>
      </c>
      <c r="E89" s="186">
        <v>74.099999999999994</v>
      </c>
      <c r="F89" s="186">
        <f>E89</f>
        <v>74.099999999999994</v>
      </c>
      <c r="G89" s="186">
        <v>72</v>
      </c>
      <c r="H89" s="186">
        <v>73</v>
      </c>
      <c r="I89" s="59">
        <v>56.69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L6:AT6"/>
    <mergeCell ref="AC6:AF6"/>
    <mergeCell ref="AG6:AH6"/>
    <mergeCell ref="AI6:AJ6"/>
    <mergeCell ref="D1:E1"/>
    <mergeCell ref="AB3:AB4"/>
    <mergeCell ref="AB1:AB2"/>
    <mergeCell ref="A6:AA6"/>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rBesvaret xmlns="89A130B8-0A48-4294-BE53-216218F699B0">false</ErBesvaret>
    <h7d7b564e6ab40d3aa4d6f9dfb78478c xmlns="ff038efd-60d5-4198-a271-1b789e3e63e2">
      <Terms xmlns="http://schemas.microsoft.com/office/infopath/2007/PartnerControls"/>
    </h7d7b564e6ab40d3aa4d6f9dfb78478c>
    <Modtagere xmlns="89A130B8-0A48-4294-BE53-216218F699B0"/>
    <SvarPaa xmlns="89A130B8-0A48-4294-BE53-216218F699B0"/>
    <Part xmlns="89A130B8-0A48-4294-BE53-216218F699B0"/>
    <CCMAgendaStatus xmlns="89A130B8-0A48-4294-BE53-216218F699B0" xsi:nil="true"/>
    <CCMCognitiveType xmlns="http://schemas.microsoft.com/sharepoint/v3">0</CCMCognitiveType>
    <DokVedr xmlns="89A130B8-0A48-4294-BE53-216218F699B0" xsi:nil="true"/>
    <CaseOwner xmlns="ff038efd-60d5-4198-a271-1b789e3e63e2">
      <UserInfo>
        <DisplayName>Cathy Brown Stummann</DisplayName>
        <AccountId>257</AccountId>
        <AccountType/>
      </UserInfo>
    </CaseOwner>
    <TaxCatchAll xmlns="3dd90af7-f520-410a-a794-379e87a32df7"/>
    <Beskrivelse xmlns="ff038efd-60d5-4198-a271-1b789e3e63e2" xsi:nil="true"/>
    <CCMAgendaItemId xmlns="89A130B8-0A48-4294-BE53-216218F699B0" xsi:nil="true"/>
    <Afsender xmlns="89A130B8-0A48-4294-BE53-216218F699B0" xsi:nil="true"/>
    <Classification xmlns="ff038efd-60d5-4198-a271-1b789e3e63e2" xsi:nil="true"/>
    <Korrespondance xmlns="ff038efd-60d5-4198-a271-1b789e3e63e2">Intern</Korrespondance>
    <Dato xmlns="ff038efd-60d5-4198-a271-1b789e3e63e2">2022-05-06T10:17:09+00:00</Dato>
    <Frist xmlns="89A130B8-0A48-4294-BE53-216218F699B0" xsi:nil="true"/>
    <CCMMeetingCaseLink xmlns="89A130B8-0A48-4294-BE53-216218F699B0">
      <Url xsi:nil="true"/>
      <Description xsi:nil="true"/>
    </CCMMeetingCaseLink>
    <Aktindsigt xmlns="89A130B8-0A48-4294-BE53-216218F699B0">true</Aktindsigt>
    <CCMMeetingCaseId xmlns="89A130B8-0A48-4294-BE53-216218F699B0" xsi:nil="true"/>
    <CCMAgendaDocumentStatus xmlns="89A130B8-0A48-4294-BE53-216218F699B0" xsi:nil="true"/>
    <CCMMetadataExtractionStatus xmlns="http://schemas.microsoft.com/sharepoint/v3">CCMPageCount:NotSupported;CCMCommentCount:Idle</CCMMetadataExtractionStatus>
    <LocalAttachment xmlns="http://schemas.microsoft.com/sharepoint/v3">false</LocalAttachment>
    <RegistrationDate xmlns="http://schemas.microsoft.com/sharepoint/v3" xsi:nil="true"/>
    <CaseRecordNumber xmlns="http://schemas.microsoft.com/sharepoint/v3">0</CaseRecordNumber>
    <Related xmlns="http://schemas.microsoft.com/sharepoint/v3">false</Related>
    <Finalized xmlns="http://schemas.microsoft.com/sharepoint/v3">false</Finalized>
    <CCMPreviewAnnotationsTasks xmlns="http://schemas.microsoft.com/sharepoint/v3">0</CCMPreviewAnnotationsTasks>
    <CCMSystemID xmlns="http://schemas.microsoft.com/sharepoint/v3">3eef596c-36d8-465c-a81c-1657ad3e9633</CCMSystemID>
    <CCMVisualId xmlns="http://schemas.microsoft.com/sharepoint/v3">EMN-2021-00348</CCMVisualId>
    <CCMPageCount xmlns="http://schemas.microsoft.com/sharepoint/v3">0</CCMPageCount>
    <DocID xmlns="http://schemas.microsoft.com/sharepoint/v3">3342584</DocID>
    <CCMCommentCount xmlns="http://schemas.microsoft.com/sharepoint/v3">17</CCMCommentCount>
    <CCMTemplateID xmlns="http://schemas.microsoft.com/sharepoint/v3">0</CCMTemplateID>
    <CaseID xmlns="http://schemas.microsoft.com/sharepoint/v3">EMN-2021-00348</CaseID>
  </documentManagement>
</p:properti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4EF76AB70942004AA264190FB745888B" ma:contentTypeVersion="1" ma:contentTypeDescription="GetOrganized dokument" ma:contentTypeScope="" ma:versionID="3b39a37eba0b61f525605d3884c74d0a">
  <xsd:schema xmlns:xsd="http://www.w3.org/2001/XMLSchema" xmlns:xs="http://www.w3.org/2001/XMLSchema" xmlns:p="http://schemas.microsoft.com/office/2006/metadata/properties" xmlns:ns1="http://schemas.microsoft.com/sharepoint/v3" xmlns:ns2="89A130B8-0A48-4294-BE53-216218F699B0" xmlns:ns3="ff038efd-60d5-4198-a271-1b789e3e63e2" xmlns:ns4="3dd90af7-f520-410a-a794-379e87a32df7" targetNamespace="http://schemas.microsoft.com/office/2006/metadata/properties" ma:root="true" ma:fieldsID="f1b36756fc5731b8f4dfdbd2c2387517" ns1:_="" ns2:_="" ns3:_="" ns4:_="">
    <xsd:import namespace="http://schemas.microsoft.com/sharepoint/v3"/>
    <xsd:import namespace="89A130B8-0A48-4294-BE53-216218F699B0"/>
    <xsd:import namespace="ff038efd-60d5-4198-a271-1b789e3e63e2"/>
    <xsd:import namespace="3dd90af7-f520-410a-a794-379e87a32df7"/>
    <xsd:element name="properties">
      <xsd:complexType>
        <xsd:sequence>
          <xsd:element name="documentManagement">
            <xsd:complexType>
              <xsd:all>
                <xsd:element ref="ns2:DokVedr" minOccurs="0"/>
                <xsd:element ref="ns1:CCMCognitiveType" minOccurs="0"/>
                <xsd:element ref="ns3:Classification" minOccurs="0"/>
                <xsd:element ref="ns3:Beskrivelse" minOccurs="0"/>
                <xsd:element ref="ns3:CaseOwner" minOccurs="0"/>
                <xsd:element ref="ns3:Korrespondance"/>
                <xsd:element ref="ns3:Dato"/>
                <xsd:element ref="ns2:SvarPaa" minOccurs="0"/>
                <xsd:element ref="ns2:ErBesvaret" minOccurs="0"/>
                <xsd:element ref="ns2:Frist" minOccurs="0"/>
                <xsd:element ref="ns2:CCMAgendaDocumentStatus" minOccurs="0"/>
                <xsd:element ref="ns2:CCMAgendaStatus" minOccurs="0"/>
                <xsd:element ref="ns2:CCMMeetingCaseLink" minOccurs="0"/>
                <xsd:element ref="ns2:Aktindsigt" minOccurs="0"/>
                <xsd:element ref="ns1:CaseID" minOccurs="0"/>
                <xsd:element ref="ns1:CCMVisual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1:CCMConversation" minOccurs="0"/>
                <xsd:element ref="ns1:CCMPageCount" minOccurs="0"/>
                <xsd:element ref="ns1:CCMCommentCount" minOccurs="0"/>
                <xsd:element ref="ns1:CCMPreviewAnnotationsTasks" minOccurs="0"/>
                <xsd:element ref="ns1:CCMMetadataExtractionStatus" minOccurs="0"/>
                <xsd:element ref="ns1:CCMSubID" minOccurs="0"/>
                <xsd:element ref="ns1:CCMManageRelations" minOccurs="0"/>
                <xsd:element ref="ns3:h7d7b564e6ab40d3aa4d6f9dfb78478c" minOccurs="0"/>
                <xsd:element ref="ns4:TaxCatchAll" minOccurs="0"/>
                <xsd:element ref="ns2:CCMMeetingCaseId" minOccurs="0"/>
                <xsd:element ref="ns2:CCMAgendaItemId" minOccurs="0"/>
                <xsd:element ref="ns2:AgendaStatusIcon" minOccurs="0"/>
                <xsd:element ref="ns2:Modtagere" minOccurs="0"/>
                <xsd:element ref="ns2:Part" minOccurs="0"/>
                <xsd:element ref="ns2:Afsen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CMCognitiveType" ma:index="3" nillable="true" ma:displayName="CognitiveType" ma:decimals="0" ma:description="" ma:internalName="CCMCognitiveType" ma:readOnly="false">
      <xsd:simpleType>
        <xsd:restriction base="dms:Number"/>
      </xsd:simpleType>
    </xsd:element>
    <xsd:element name="CaseID" ma:index="23" nillable="true" ma:displayName="Sags ID" ma:default="Tildeler" ma:internalName="CaseID" ma:readOnly="true">
      <xsd:simpleType>
        <xsd:restriction base="dms:Text"/>
      </xsd:simpleType>
    </xsd:element>
    <xsd:element name="CCMVisualId" ma:index="24" nillable="true" ma:displayName="Sags ID" ma:default="Tildeler" ma:description="" ma:internalName="CCMVisualId" ma:readOnly="true">
      <xsd:simpleType>
        <xsd:restriction base="dms:Text"/>
      </xsd:simpleType>
    </xsd:element>
    <xsd:element name="DocID" ma:index="25" nillable="true" ma:displayName="Dok ID" ma:default="Tildeler" ma:internalName="DocID" ma:readOnly="true">
      <xsd:simpleType>
        <xsd:restriction base="dms:Text"/>
      </xsd:simpleType>
    </xsd:element>
    <xsd:element name="Finalized" ma:index="26" nillable="true" ma:displayName="Endeligt" ma:default="False" ma:internalName="Finalized" ma:readOnly="true">
      <xsd:simpleType>
        <xsd:restriction base="dms:Boolean"/>
      </xsd:simpleType>
    </xsd:element>
    <xsd:element name="Related" ma:index="27" nillable="true" ma:displayName="Vedhæftet dokument" ma:default="False" ma:internalName="Related" ma:readOnly="true">
      <xsd:simpleType>
        <xsd:restriction base="dms:Boolean"/>
      </xsd:simpleType>
    </xsd:element>
    <xsd:element name="RegistrationDate" ma:index="28" nillable="true" ma:displayName="Registrerings dato" ma:format="DateTime" ma:internalName="RegistrationDate" ma:readOnly="true">
      <xsd:simpleType>
        <xsd:restriction base="dms:DateTime"/>
      </xsd:simpleType>
    </xsd:element>
    <xsd:element name="CaseRecordNumber" ma:index="29" nillable="true" ma:displayName="Akt ID" ma:decimals="0" ma:default="0" ma:internalName="CaseRecordNumber" ma:readOnly="true">
      <xsd:simpleType>
        <xsd:restriction base="dms:Number"/>
      </xsd:simpleType>
    </xsd:element>
    <xsd:element name="LocalAttachment" ma:index="30" nillable="true" ma:displayName="Lokalt bilag" ma:default="False" ma:description="" ma:internalName="LocalAttachment" ma:readOnly="true">
      <xsd:simpleType>
        <xsd:restriction base="dms:Boolean"/>
      </xsd:simpleType>
    </xsd:element>
    <xsd:element name="CCMTemplateName" ma:index="31" nillable="true" ma:displayName="Skabelonnavn" ma:internalName="CCMTemplateName" ma:readOnly="true">
      <xsd:simpleType>
        <xsd:restriction base="dms:Text"/>
      </xsd:simpleType>
    </xsd:element>
    <xsd:element name="CCMTemplateVersion" ma:index="32" nillable="true" ma:displayName="Skabelonversion" ma:internalName="CCMTemplateVersion" ma:readOnly="true">
      <xsd:simpleType>
        <xsd:restriction base="dms:Text"/>
      </xsd:simpleType>
    </xsd:element>
    <xsd:element name="CCMTemplateID" ma:index="33" nillable="true" ma:displayName="CCMTemplateID" ma:decimals="0" ma:default="0" ma:hidden="true" ma:internalName="CCMTemplateID" ma:readOnly="true">
      <xsd:simpleType>
        <xsd:restriction base="dms:Number"/>
      </xsd:simpleType>
    </xsd:element>
    <xsd:element name="CCMSystemID" ma:index="34" nillable="true" ma:displayName="CCMSystemID" ma:hidden="true" ma:internalName="CCMSystemID" ma:readOnly="true">
      <xsd:simpleType>
        <xsd:restriction base="dms:Text"/>
      </xsd:simpleType>
    </xsd:element>
    <xsd:element name="WasEncrypted" ma:index="35" nillable="true" ma:displayName="Krypteret" ma:default="False" ma:internalName="WasEncrypted" ma:readOnly="true">
      <xsd:simpleType>
        <xsd:restriction base="dms:Boolean"/>
      </xsd:simpleType>
    </xsd:element>
    <xsd:element name="WasSigned" ma:index="36" nillable="true" ma:displayName="Signeret" ma:default="False" ma:internalName="WasSigned" ma:readOnly="true">
      <xsd:simpleType>
        <xsd:restriction base="dms:Boolean"/>
      </xsd:simpleType>
    </xsd:element>
    <xsd:element name="MailHasAttachments" ma:index="37" nillable="true" ma:displayName="E-mail har vedhæftede filer" ma:default="False" ma:internalName="MailHasAttachments" ma:readOnly="true">
      <xsd:simpleType>
        <xsd:restriction base="dms:Boolean"/>
      </xsd:simpleType>
    </xsd:element>
    <xsd:element name="CCMConversation" ma:index="38" nillable="true" ma:displayName="Samtale" ma:description="" ma:internalName="CCMConversation" ma:readOnly="true">
      <xsd:simpleType>
        <xsd:restriction base="dms:Text"/>
      </xsd:simpleType>
    </xsd:element>
    <xsd:element name="CCMPageCount" ma:index="40" nillable="true" ma:displayName="Sider" ma:decimals="0" ma:description="" ma:internalName="CCMPageCount" ma:readOnly="true">
      <xsd:simpleType>
        <xsd:restriction base="dms:Number"/>
      </xsd:simpleType>
    </xsd:element>
    <xsd:element name="CCMCommentCount" ma:index="41" nillable="true" ma:displayName="Kommentarer" ma:decimals="0" ma:description="" ma:internalName="CCMCommentCount" ma:readOnly="true">
      <xsd:simpleType>
        <xsd:restriction base="dms:Number"/>
      </xsd:simpleType>
    </xsd:element>
    <xsd:element name="CCMPreviewAnnotationsTasks" ma:index="42" nillable="true" ma:displayName="Opgaver" ma:decimals="0" ma:description="" ma:internalName="CCMPreviewAnnotationsTasks" ma:readOnly="true">
      <xsd:simpleType>
        <xsd:restriction base="dms:Number"/>
      </xsd:simpleType>
    </xsd:element>
    <xsd:element name="CCMMetadataExtractionStatus" ma:index="43" nillable="true" ma:displayName="CCMMetadataExtractionStatus" ma:default="CCMPageCount:InProgress;CCMCommentCount:InProgress" ma:description="" ma:hidden="true" ma:internalName="CCMMetadataExtractionStatus" ma:readOnly="false">
      <xsd:simpleType>
        <xsd:restriction base="dms:Text"/>
      </xsd:simpleType>
    </xsd:element>
    <xsd:element name="CCMSubID" ma:index="44" nillable="true" ma:displayName="UndersagsId" ma:description="" ma:internalName="CCMSubID" ma:readOnly="true">
      <xsd:simpleType>
        <xsd:restriction base="dms:Text">
          <xsd:maxLength value="255"/>
        </xsd:restriction>
      </xsd:simpleType>
    </xsd:element>
    <xsd:element name="CCMManageRelations" ma:index="45" nillable="true" ma:displayName="Bilag" ma:description="" ma:internalName="CCMManageRelations"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A130B8-0A48-4294-BE53-216218F699B0" elementFormDefault="qualified">
    <xsd:import namespace="http://schemas.microsoft.com/office/2006/documentManagement/types"/>
    <xsd:import namespace="http://schemas.microsoft.com/office/infopath/2007/PartnerControls"/>
    <xsd:element name="DokVedr" ma:index="2" nillable="true" ma:displayName="Dokument vedrører" ma:internalName="DokVedr">
      <xsd:simpleType>
        <xsd:restriction base="dms:Text">
          <xsd:maxLength value="255"/>
        </xsd:restriction>
      </xsd:simpleType>
    </xsd:element>
    <xsd:element name="SvarPaa" ma:index="10" nillable="true" ma:displayName="Svar på" ma:list="{89A130B8-0A48-4294-BE53-216218F699B0}" ma:internalName="SvarPaa" ma:showField="Title">
      <xsd:complexType>
        <xsd:complexContent>
          <xsd:extension base="dms:MultiChoiceLookup">
            <xsd:sequence>
              <xsd:element name="Value" type="dms:Lookup" maxOccurs="unbounded" minOccurs="0" nillable="true"/>
            </xsd:sequence>
          </xsd:extension>
        </xsd:complexContent>
      </xsd:complexType>
    </xsd:element>
    <xsd:element name="ErBesvaret" ma:index="11" nillable="true" ma:displayName="Er besvaret?" ma:default="0" ma:internalName="ErBesvaret">
      <xsd:simpleType>
        <xsd:restriction base="dms:Boolean"/>
      </xsd:simpleType>
    </xsd:element>
    <xsd:element name="Frist" ma:index="12" nillable="true" ma:displayName="Frist" ma:format="DateOnly" ma:internalName="Frist">
      <xsd:simpleType>
        <xsd:restriction base="dms:DateTime"/>
      </xsd:simpleType>
    </xsd:element>
    <xsd:element name="CCMAgendaDocumentStatus" ma:index="13" nillable="true" ma:displayName="Status for dagsordensdokument" ma:format="Dropdown" ma:internalName="CCMAgendaDocumentStatus">
      <xsd:simpleType>
        <xsd:restriction base="dms:Choice">
          <xsd:enumeration value="Udkast"/>
          <xsd:enumeration value="Under udarbejdelse"/>
          <xsd:enumeration value="Endelig"/>
        </xsd:restriction>
      </xsd:simpleType>
    </xsd:element>
    <xsd:element name="CCMAgendaStatus" ma:index="14" nillable="true" ma:displayName="Dagsordenstatus" ma:default="" ma:format="Dropdown" ma:internalName="CCMAgendaStatus">
      <xsd:simpleType>
        <xsd:restriction base="dms:Choice">
          <xsd:enumeration value="Anmeldt"/>
          <xsd:enumeration value="Optaget på dagsorden"/>
          <xsd:enumeration value="Behandlet"/>
          <xsd:enumeration value="Afvist til dagsorden"/>
          <xsd:enumeration value="Fjernet fra dagsorden"/>
        </xsd:restriction>
      </xsd:simpleType>
    </xsd:element>
    <xsd:element name="CCMMeetingCaseLink" ma:index="15" nillable="true" ma:displayName="Mødesag" ma:format="Hyperlink" ma:internalName="CCMMeetingCaseLink">
      <xsd:complexType>
        <xsd:complexContent>
          <xsd:extension base="dms:URL">
            <xsd:sequence>
              <xsd:element name="Url" type="dms:ValidUrl" minOccurs="0" nillable="true"/>
              <xsd:element name="Description" type="xsd:string" nillable="true"/>
            </xsd:sequence>
          </xsd:extension>
        </xsd:complexContent>
      </xsd:complexType>
    </xsd:element>
    <xsd:element name="Aktindsigt" ma:index="16" nillable="true" ma:displayName="Aktindsigt" ma:default="1" ma:internalName="Aktindsigt">
      <xsd:simpleType>
        <xsd:restriction base="dms:Boolean"/>
      </xsd:simpleType>
    </xsd:element>
    <xsd:element name="CCMMeetingCaseId" ma:index="48" nillable="true" ma:displayName="CCMMeetingCaseId" ma:hidden="true" ma:internalName="CCMMeetingCaseId">
      <xsd:simpleType>
        <xsd:restriction base="dms:Text">
          <xsd:maxLength value="255"/>
        </xsd:restriction>
      </xsd:simpleType>
    </xsd:element>
    <xsd:element name="CCMAgendaItemId" ma:index="49" nillable="true" ma:displayName="CCMAgendaItemId" ma:decimals="0" ma:hidden="true" ma:internalName="CCMAgendaItemId">
      <xsd:simpleType>
        <xsd:restriction base="dms:Number"/>
      </xsd:simpleType>
    </xsd:element>
    <xsd:element name="AgendaStatusIcon" ma:index="50" nillable="true" ma:displayName="Ikon for dagsordensstatus" ma:internalName="AgendaStatusIcon" ma:readOnly="true">
      <xsd:simpleType>
        <xsd:restriction base="dms:Unknown"/>
      </xsd:simpleType>
    </xsd:element>
    <xsd:element name="Modtagere" ma:index="51" nillable="true" ma:displayName="Modtagere" ma:list="{7D64892A-6677-4A4B-963C-ED7D2C33FF90}" ma:internalName="Modtagere" ma:showField="VisNavn">
      <xsd:complexType>
        <xsd:complexContent>
          <xsd:extension base="dms:MultiChoiceLookup">
            <xsd:sequence>
              <xsd:element name="Value" type="dms:Lookup" maxOccurs="unbounded" minOccurs="0" nillable="true"/>
            </xsd:sequence>
          </xsd:extension>
        </xsd:complexContent>
      </xsd:complexType>
    </xsd:element>
    <xsd:element name="Part" ma:index="52" nillable="true" ma:displayName="Part" ma:list="{7D64892A-6677-4A4B-963C-ED7D2C33FF90}" ma:internalName="Part" ma:showField="VisNavn">
      <xsd:complexType>
        <xsd:complexContent>
          <xsd:extension base="dms:MultiChoiceLookup">
            <xsd:sequence>
              <xsd:element name="Value" type="dms:Lookup" maxOccurs="unbounded" minOccurs="0" nillable="true"/>
            </xsd:sequence>
          </xsd:extension>
        </xsd:complexContent>
      </xsd:complexType>
    </xsd:element>
    <xsd:element name="Afsender" ma:index="53" nillable="true" ma:displayName="Afsender" ma:list="{7D64892A-6677-4A4B-963C-ED7D2C33FF90}" ma:internalName="Afsender" ma:showField="VisNavn">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ff038efd-60d5-4198-a271-1b789e3e63e2" elementFormDefault="qualified">
    <xsd:import namespace="http://schemas.microsoft.com/office/2006/documentManagement/types"/>
    <xsd:import namespace="http://schemas.microsoft.com/office/infopath/2007/PartnerControls"/>
    <xsd:element name="Classification" ma:index="4" nillable="true" ma:displayName="Klassifikation" ma:format="Dropdown" ma:internalName="Classification">
      <xsd:simpleType>
        <xsd:restriction base="dms:Choice">
          <xsd:enumeration value="Offentlig"/>
          <xsd:enumeration value="Intern"/>
          <xsd:enumeration value="Fortrolig"/>
        </xsd:restriction>
      </xsd:simpleType>
    </xsd:element>
    <xsd:element name="Beskrivelse" ma:index="5" nillable="true" ma:displayName="Beskrivelse" ma:internalName="Beskrivelse">
      <xsd:simpleType>
        <xsd:restriction base="dms:Note">
          <xsd:maxLength value="255"/>
        </xsd:restriction>
      </xsd:simpleType>
    </xsd:element>
    <xsd:element name="CaseOwner" ma:index="6" nillable="true" ma:displayName="Dokumentansvarlig" ma:default="" ma:list="UserInfo" ma:SharePointGroup="0" ma:internalName="Case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orrespondance" ma:index="7" ma:displayName="Korrespondance" ma:default="Intern" ma:format="Dropdown" ma:internalName="Korrespondance">
      <xsd:simpleType>
        <xsd:restriction base="dms:Choice">
          <xsd:enumeration value="Indgående"/>
          <xsd:enumeration value="Intern"/>
          <xsd:enumeration value="Udgående"/>
        </xsd:restriction>
      </xsd:simpleType>
    </xsd:element>
    <xsd:element name="Dato" ma:index="8" ma:displayName="Dato" ma:default="[today]" ma:format="DateOnly" ma:internalName="Dato">
      <xsd:simpleType>
        <xsd:restriction base="dms:DateTime"/>
      </xsd:simpleType>
    </xsd:element>
    <xsd:element name="h7d7b564e6ab40d3aa4d6f9dfb78478c" ma:index="46" nillable="true" ma:taxonomy="true" ma:internalName="h7d7b564e6ab40d3aa4d6f9dfb78478c" ma:taxonomyFieldName="Dokumenttype" ma:displayName="Dokumenttype" ma:default="" ma:fieldId="{17d7b564-e6ab-40d3-aa4d-6f9dfb78478c}" ma:sspId="32224561-ae9f-4114-8e53-c1b9b1969f2f" ma:termSetId="1f9313ec-bcdf-4c8a-8c66-ce0a808409d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dd90af7-f520-410a-a794-379e87a32df7" elementFormDefault="qualified">
    <xsd:import namespace="http://schemas.microsoft.com/office/2006/documentManagement/types"/>
    <xsd:import namespace="http://schemas.microsoft.com/office/infopath/2007/PartnerControls"/>
    <xsd:element name="TaxCatchAll" ma:index="47" nillable="true" ma:displayName="Taxonomy Catch All Column" ma:hidden="true" ma:list="{850b25b8-b6f8-4b13-bdd6-1e67b0e5a89c}" ma:internalName="TaxCatchAll" ma:showField="CatchAllData" ma:web="3dd90af7-f520-410a-a794-379e87a32d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59E156-E06A-4E9B-97D0-59F4656A2573}">
  <ds:schemaRefs>
    <ds:schemaRef ds:uri="http://schemas.microsoft.com/sharepoint/v3/contenttype/forms"/>
  </ds:schemaRefs>
</ds:datastoreItem>
</file>

<file path=customXml/itemProps2.xml><?xml version="1.0" encoding="utf-8"?>
<ds:datastoreItem xmlns:ds="http://schemas.openxmlformats.org/officeDocument/2006/customXml" ds:itemID="{6E753A2E-50CC-4EB7-83EB-BC169CCF8D30}">
  <ds:schemaRefs>
    <ds:schemaRef ds:uri="http://schemas.microsoft.com/office/2006/metadata/properties"/>
    <ds:schemaRef ds:uri="http://schemas.microsoft.com/office/infopath/2007/PartnerControls"/>
    <ds:schemaRef ds:uri="89A130B8-0A48-4294-BE53-216218F699B0"/>
    <ds:schemaRef ds:uri="ff038efd-60d5-4198-a271-1b789e3e63e2"/>
    <ds:schemaRef ds:uri="http://schemas.microsoft.com/sharepoint/v3"/>
    <ds:schemaRef ds:uri="3dd90af7-f520-410a-a794-379e87a32df7"/>
  </ds:schemaRefs>
</ds:datastoreItem>
</file>

<file path=customXml/itemProps3.xml><?xml version="1.0" encoding="utf-8"?>
<ds:datastoreItem xmlns:ds="http://schemas.openxmlformats.org/officeDocument/2006/customXml" ds:itemID="{AD4CFA8E-2579-4233-9EBF-4BCACC8850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A130B8-0A48-4294-BE53-216218F699B0"/>
    <ds:schemaRef ds:uri="ff038efd-60d5-4198-a271-1b789e3e63e2"/>
    <ds:schemaRef ds:uri="3dd90af7-f520-410a-a794-379e87a32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Navngivne områder</vt:lpstr>
      </vt:variant>
      <vt:variant>
        <vt:i4>10</vt:i4>
      </vt:variant>
    </vt:vector>
  </HeadingPairs>
  <TitlesOfParts>
    <vt:vector size="26" baseType="lpstr">
      <vt:lpstr>Grafer-energi</vt:lpstr>
      <vt:lpstr>Grafer-klima</vt:lpstr>
      <vt:lpstr>E2020</vt:lpstr>
      <vt:lpstr>E2018</vt:lpstr>
      <vt:lpstr>E2017</vt:lpstr>
      <vt:lpstr>E2015</vt:lpstr>
      <vt:lpstr>E2013</vt:lpstr>
      <vt:lpstr>E2011</vt:lpstr>
      <vt:lpstr>E2009</vt:lpstr>
      <vt:lpstr>E2007</vt:lpstr>
      <vt:lpstr>E1990</vt:lpstr>
      <vt:lpstr>Dyrehold2018</vt:lpstr>
      <vt:lpstr>Planteavl2018</vt:lpstr>
      <vt:lpstr>Arealanvendelse2018</vt:lpstr>
      <vt:lpstr>Industrielle processer 2018</vt:lpstr>
      <vt:lpstr>Affald og spildevand 2018</vt:lpstr>
      <vt:lpstr>'E1990'!Udskriftsområde</vt:lpstr>
      <vt:lpstr>'E2007'!Udskriftsområde</vt:lpstr>
      <vt:lpstr>'E2009'!Udskriftsområde</vt:lpstr>
      <vt:lpstr>'E2011'!Udskriftsområde</vt:lpstr>
      <vt:lpstr>'E2013'!Udskriftsområde</vt:lpstr>
      <vt:lpstr>'E2015'!Udskriftsområde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Skive Kommune - Klima og Energiregnskab 1990-2020</dc:title>
  <dc:creator>Anders Michael Odgaard</dc:creator>
  <cp:lastModifiedBy>Rasmus Højegaard-Vibild</cp:lastModifiedBy>
  <cp:lastPrinted>2018-07-12T06:57:45Z</cp:lastPrinted>
  <dcterms:created xsi:type="dcterms:W3CDTF">2007-01-15T14:25:48Z</dcterms:created>
  <dcterms:modified xsi:type="dcterms:W3CDTF">2022-05-09T08:38:20Z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0x010100AC085CFC53BC46CEA2EADE194AD9D482004EF76AB70942004AA264190FB745888B</vt:lpwstr>
  </property>
  <property fmtid="{D5CDD505-2E9C-101B-9397-08002B2CF9AE}" pid="3" name="CCMIsSharedOnOneDrive">
    <vt:bool>false</vt:bool>
  </property>
  <property fmtid="{D5CDD505-2E9C-101B-9397-08002B2CF9AE}" pid="4" name="CCMOneDriveID">
    <vt:lpwstr/>
  </property>
  <property fmtid="{D5CDD505-2E9C-101B-9397-08002B2CF9AE}" pid="5" name="CCMOneDriveOwnerID">
    <vt:lpwstr/>
  </property>
  <property fmtid="{D5CDD505-2E9C-101B-9397-08002B2CF9AE}" pid="6" name="CCMOneDriveItemID">
    <vt:lpwstr/>
  </property>
  <property fmtid="{D5CDD505-2E9C-101B-9397-08002B2CF9AE}" pid="7" name="Dokumenttype">
    <vt:lpwstr/>
  </property>
  <property fmtid="{D5CDD505-2E9C-101B-9397-08002B2CF9AE}" pid="8" name="CCMSystem">
    <vt:lpwstr> </vt:lpwstr>
  </property>
  <property fmtid="{D5CDD505-2E9C-101B-9397-08002B2CF9AE}" pid="9" name="CCMReplyToDocCacheId_AA145BE6-B859-401A-B2E0-03BB3E7048FC_">
    <vt:lpwstr>CCMReplyToDocCacheId_AA145BE6-B859-401A-B2E0-03BB3E7048FC_1bab4771-6764-4b0e-9f14-e204a0d122f3</vt:lpwstr>
  </property>
  <property fmtid="{D5CDD505-2E9C-101B-9397-08002B2CF9AE}" pid="10" name="CCMEventContext">
    <vt:lpwstr>be272119-e9ea-4591-b53b-10f9ef209fa8</vt:lpwstr>
  </property>
  <property fmtid="{D5CDD505-2E9C-101B-9397-08002B2CF9AE}" pid="11" name="CCMCommunication">
    <vt:lpwstr/>
  </property>
</Properties>
</file>